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35" yWindow="65401" windowWidth="14115" windowHeight="13860" tabRatio="826" activeTab="0"/>
  </bookViews>
  <sheets>
    <sheet name="Krycí list" sheetId="1" r:id="rId1"/>
    <sheet name="VRN" sheetId="2" r:id="rId2"/>
    <sheet name="PS 20.2" sheetId="3" r:id="rId3"/>
    <sheet name="PS 20.3" sheetId="4" r:id="rId4"/>
    <sheet name="PS 20.4 elektropřípojka" sheetId="5" r:id="rId5"/>
    <sheet name="PS 20.5 elektropřípojka" sheetId="6" r:id="rId6"/>
    <sheet name="30 ČSOV2 výtlak V1" sheetId="7" r:id="rId7"/>
    <sheet name="30.1 ČSOV3, V2" sheetId="8" r:id="rId8"/>
    <sheet name="40 stoka A" sheetId="9" r:id="rId9"/>
    <sheet name="60 stoka C,D"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#REF!</definedName>
    <definedName name="AE">#REF!</definedName>
    <definedName name="AL_obvodový_plášť" localSheetId="2">'[4]SO 11.1A Výkaz výměr'!#REF!</definedName>
    <definedName name="AL_obvodový_plášť">'[4]SO 11.1A Výkaz výměr'!#REF!</definedName>
    <definedName name="ATS">#REF!</definedName>
    <definedName name="battab">#REF!</definedName>
    <definedName name="Battzeit">#REF!</definedName>
    <definedName name="Cena_dokumentace">#REF!</definedName>
    <definedName name="cif">#REF!</definedName>
    <definedName name="cisloobjektu">#REF!</definedName>
    <definedName name="cislostavby">#REF!</definedName>
    <definedName name="Com.">#REF!</definedName>
    <definedName name="ČS2">'[10]Krycí list'!$C$5</definedName>
    <definedName name="ČS3">'[11]Krycí list'!$A$5</definedName>
    <definedName name="d">#REF!</definedName>
    <definedName name="Datum">#REF!</definedName>
    <definedName name="Dil">#REF!</definedName>
    <definedName name="Dodavka">#REF!</definedName>
    <definedName name="Dodavka0" localSheetId="2">'[5]01 VDJ Lomnice'!#REF!</definedName>
    <definedName name="Dodavka0">'[5]01 VDJ Lomnice'!#REF!</definedName>
    <definedName name="HSV">#REF!</definedName>
    <definedName name="HSV0" localSheetId="2">'[5]01 VDJ Lomnice'!#REF!</definedName>
    <definedName name="HSV0">'[5]01 VDJ Lomnice'!#REF!</definedName>
    <definedName name="HZS">#REF!</definedName>
    <definedName name="HZS0" localSheetId="2">'[5]01 VDJ Lomnice'!#REF!</definedName>
    <definedName name="HZS0">'[5]01 VDJ Lomnice'!#REF!</definedName>
    <definedName name="Izolace_akustické" localSheetId="2">'[4]SO 11.1A Výkaz výměr'!#REF!</definedName>
    <definedName name="Izolace_akustické">'[4]SO 11.1A Výkaz výměr'!#REF!</definedName>
    <definedName name="Izolace_proti_vodě" localSheetId="2">'[4]SO 11.1A Výkaz výměr'!#REF!</definedName>
    <definedName name="Izolace_proti_vodě">'[4]SO 11.1A Výkaz výměr'!#REF!</definedName>
    <definedName name="JKSO">#REF!</definedName>
    <definedName name="K" localSheetId="2">'[6]Specifikace'!#REF!</definedName>
    <definedName name="K">'[6]Specifikace'!#REF!</definedName>
    <definedName name="KAPITOLA_1___OSVĚTLENÍ">#REF!</definedName>
    <definedName name="KAPITOLA_10">#REF!</definedName>
    <definedName name="KAPITOLA_2___VYPÍNAČE">#REF!</definedName>
    <definedName name="KAPITOLA_3___ZÁSUVKY">#REF!</definedName>
    <definedName name="KAPITOLA_4___KABELY">#REF!</definedName>
    <definedName name="KAPITOLA_5___ROZVADĚČE">#REF!</definedName>
    <definedName name="KAPITOLA_6___OSTATNÍ">#REF!</definedName>
    <definedName name="KAPITOLA_7___DOKUMENTACE">#REF!</definedName>
    <definedName name="KAPITOLA_8">#REF!</definedName>
    <definedName name="KAPITOLA_9">#REF!</definedName>
    <definedName name="Komunikace" localSheetId="2">'[4]SO 11.1A Výkaz výměr'!#REF!</definedName>
    <definedName name="Komunikace">'[4]SO 11.1A Výkaz výměr'!#REF!</definedName>
    <definedName name="Konstrukce_klempířské" localSheetId="2">'[4]SO 11.1A Výkaz výměr'!#REF!</definedName>
    <definedName name="Konstrukce_klempířské">'[4]SO 11.1A Výkaz výměr'!#REF!</definedName>
    <definedName name="Konstrukce_tesařské" localSheetId="2">'[7]SO 51.4 Výkaz výměr'!#REF!</definedName>
    <definedName name="Konstrukce_tesařské">'[7]SO 51.4 Výkaz výměr'!#REF!</definedName>
    <definedName name="Konstrukce_truhlářské" localSheetId="2">'[4]SO 11.1A Výkaz výměr'!#REF!</definedName>
    <definedName name="Konstrukce_truhlářské">'[4]SO 11.1A Výkaz výměr'!#REF!</definedName>
    <definedName name="Kovové_stavební_doplňkové_konstrukce" localSheetId="2">'[4]SO 11.1A Výkaz výměr'!#REF!</definedName>
    <definedName name="Kovové_stavební_doplňkové_konstrukce">'[4]SO 11.1A Výkaz výměr'!#REF!</definedName>
    <definedName name="Kryt">#REF!</definedName>
    <definedName name="KSDK" localSheetId="2">'[7]SO 51.4 Výkaz výměr'!#REF!</definedName>
    <definedName name="KSDK">'[7]SO 51.4 Výkaz výměr'!#REF!</definedName>
    <definedName name="kurz">#REF!</definedName>
    <definedName name="Kurz_USD">#REF!</definedName>
    <definedName name="LKZ">#REF!</definedName>
    <definedName name="Malby__tapety__nátěry__nástřiky" localSheetId="2">'[4]SO 11.1A Výkaz výměr'!#REF!</definedName>
    <definedName name="Malby__tapety__nátěry__nástřiky">'[4]SO 11.1A Výkaz výměr'!#REF!</definedName>
    <definedName name="Marže" localSheetId="2">#REF!</definedName>
    <definedName name="Marže">#REF!</definedName>
    <definedName name="minkap">#REF!</definedName>
    <definedName name="MJ">#REF!</definedName>
    <definedName name="Mont">#REF!</definedName>
    <definedName name="Montaz0" localSheetId="2">'[5]01 VDJ Lomnice'!#REF!</definedName>
    <definedName name="Montaz0">'[5]01 VDJ Lomnice'!#REF!</definedName>
    <definedName name="Nab.">#REF!</definedName>
    <definedName name="Náhl.">#REF!</definedName>
    <definedName name="NazevDilu">#REF!</definedName>
    <definedName name="nazevobjektu">#REF!</definedName>
    <definedName name="nazevstavby">#REF!</definedName>
    <definedName name="_xlnm.Print_Titles" localSheetId="1">'VRN'!$1:$1</definedName>
    <definedName name="Objednatel">#REF!</definedName>
    <definedName name="Obklady_keramické" localSheetId="2">'[4]SO 11.1A Výkaz výměr'!#REF!</definedName>
    <definedName name="Obklady_keramické">'[4]SO 11.1A Výkaz výměr'!#REF!</definedName>
    <definedName name="_xlnm.Print_Area" localSheetId="0">'Krycí list'!$A$1:$F$33</definedName>
    <definedName name="_xlnm.Print_Area" localSheetId="5">'PS 20.5 elektropřípojka'!$A$1:$I$40</definedName>
    <definedName name="_xlnm.Print_Area" localSheetId="1">'VRN'!$A$1:$C$23</definedName>
    <definedName name="oblast1">#REF!</definedName>
    <definedName name="Ostatní_výrobky" localSheetId="2">'[7]SO 51.4 Výkaz výměr'!#REF!</definedName>
    <definedName name="Ostatní_výrobky">'[7]SO 51.4 Výkaz výměr'!#REF!</definedName>
    <definedName name="Pak.120">#REF!</definedName>
    <definedName name="Pak.8">#REF!</definedName>
    <definedName name="PocetMJ">#REF!</definedName>
    <definedName name="Podhl" localSheetId="2">'[7]SO 51.4 Výkaz výměr'!#REF!</definedName>
    <definedName name="Podhl">'[7]SO 51.4 Výkaz výměr'!#REF!</definedName>
    <definedName name="Podhledy" localSheetId="2">'[4]SO 11.1A Výkaz výměr'!#REF!</definedName>
    <definedName name="Podhledy">'[4]SO 11.1A Výkaz výměr'!#REF!</definedName>
    <definedName name="PORTSV">#REF!</definedName>
    <definedName name="Poznamka">#REF!</definedName>
    <definedName name="Projektant">#REF!</definedName>
    <definedName name="PSV">#REF!</definedName>
    <definedName name="PSV0" localSheetId="2">'[5]01 VDJ Lomnice'!#REF!</definedName>
    <definedName name="PSV0">'[5]01 VDJ Lomnice'!#REF!</definedName>
    <definedName name="red">#REF!</definedName>
    <definedName name="red_dod">'[8]SCS'!$J$16</definedName>
    <definedName name="red1" localSheetId="2">#REF!</definedName>
    <definedName name="red1">#REF!</definedName>
    <definedName name="red10" localSheetId="2">#REF!</definedName>
    <definedName name="red10">#REF!</definedName>
    <definedName name="red2" localSheetId="2">#REF!</definedName>
    <definedName name="red2">#REF!</definedName>
    <definedName name="red3">#REF!</definedName>
    <definedName name="red4">#REF!</definedName>
    <definedName name="red5">#REF!</definedName>
    <definedName name="red6">#REF!</definedName>
    <definedName name="red7">#REF!</definedName>
    <definedName name="red8" localSheetId="2">#REF!</definedName>
    <definedName name="red8">#REF!</definedName>
    <definedName name="red9">#REF!</definedName>
    <definedName name="REKAPITULACE" localSheetId="2">'[4]SO 11.1A Výkaz výměr'!#REF!</definedName>
    <definedName name="REKAPITULACE">'[4]SO 11.1A Výkaz výměr'!#REF!</definedName>
    <definedName name="RFmx">#REF!</definedName>
    <definedName name="rfomni" localSheetId="2">#REF!</definedName>
    <definedName name="rfomni">#REF!</definedName>
    <definedName name="RFperif">#REF!</definedName>
    <definedName name="RFperif1">#REF!</definedName>
    <definedName name="RFser">#REF!</definedName>
    <definedName name="RFSYST">#REF!</definedName>
    <definedName name="RFTERM">#REF!</definedName>
    <definedName name="s" localSheetId="2">#REF!</definedName>
    <definedName name="s">#REF!</definedName>
    <definedName name="Sádrokartonové_konstrukce" localSheetId="2">'[4]SO 11.1A Výkaz výměr'!#REF!</definedName>
    <definedName name="Sádrokartonové_konstrukce">'[4]SO 11.1A Výkaz výměr'!#REF!</definedName>
    <definedName name="SazbaDPH1">#REF!</definedName>
    <definedName name="SazbaDPH2">#REF!</definedName>
    <definedName name="SLC16">#REF!</definedName>
    <definedName name="SLC16E">#REF!</definedName>
    <definedName name="soucet1">#REF!</definedName>
    <definedName name="Stan.">#REF!</definedName>
    <definedName name="Strom">#REF!</definedName>
    <definedName name="topstdpage">NA()</definedName>
    <definedName name="TPORTS">#REF!</definedName>
    <definedName name="Typ" localSheetId="2">'[5]01 VDJ Lomnice'!#REF!</definedName>
    <definedName name="Typ">'[5]01 VDJ Lomnice'!#REF!</definedName>
    <definedName name="u">'[9]Ostatni naklady'!$K$5</definedName>
    <definedName name="UPS">#REF!</definedName>
    <definedName name="varta">#REF!</definedName>
    <definedName name="Vodorovné_konstrukce" localSheetId="2">'[7]SO 51.4 Výkaz výměr'!#REF!</definedName>
    <definedName name="Vodorovné_konstrukce">'[7]SO 51.4 Výkaz výměr'!#REF!</definedName>
    <definedName name="VRN">#REF!</definedName>
    <definedName name="VRNKc" localSheetId="2">#REF!</definedName>
    <definedName name="VRNKc">#REF!</definedName>
    <definedName name="VRNnazev" localSheetId="2">#REF!</definedName>
    <definedName name="VRNnazev">#REF!</definedName>
    <definedName name="VRNproc" localSheetId="2">#REF!</definedName>
    <definedName name="VRNproc">#REF!</definedName>
    <definedName name="VRNzakl" localSheetId="2">#REF!</definedName>
    <definedName name="VRNzakl">#REF!</definedName>
    <definedName name="vsp">#REF!</definedName>
    <definedName name="z">'[9]Ostatni naklady'!$M$5</definedName>
    <definedName name="Zák.1">#REF!</definedName>
    <definedName name="Zák.2">#REF!</definedName>
    <definedName name="Zák.3">#REF!</definedName>
    <definedName name="Zakazka">#REF!</definedName>
    <definedName name="Zaklad22">#REF!</definedName>
    <definedName name="Zaklad5">#REF!</definedName>
    <definedName name="Základy" localSheetId="2">'[7]SO 51.4 Výkaz výměr'!#REF!</definedName>
    <definedName name="Základy">'[7]SO 51.4 Výkaz výměr'!#REF!</definedName>
    <definedName name="Zemní_práce" localSheetId="2">'[7]SO 51.4 Výkaz výměr'!#REF!</definedName>
    <definedName name="Zemní_práce">'[7]SO 51.4 Výkaz výměr'!#REF!</definedName>
    <definedName name="Zhotovitel">#REF!</definedName>
    <definedName name="Zoll">#REF!</definedName>
  </definedNames>
  <calcPr fullCalcOnLoad="1" fullPrecision="0"/>
</workbook>
</file>

<file path=xl/sharedStrings.xml><?xml version="1.0" encoding="utf-8"?>
<sst xmlns="http://schemas.openxmlformats.org/spreadsheetml/2006/main" count="3072" uniqueCount="793">
  <si>
    <t xml:space="preserve"> </t>
  </si>
  <si>
    <t>Montáž</t>
  </si>
  <si>
    <t>MJ</t>
  </si>
  <si>
    <t>KRYCÍ LIST</t>
  </si>
  <si>
    <t xml:space="preserve">SO </t>
  </si>
  <si>
    <t>Stavební objekty</t>
  </si>
  <si>
    <t>PS</t>
  </si>
  <si>
    <t>Provozní soubory</t>
  </si>
  <si>
    <t>VRN</t>
  </si>
  <si>
    <t>VRN1</t>
  </si>
  <si>
    <t>Příprava a zařízení staveniště</t>
  </si>
  <si>
    <t>VRN2</t>
  </si>
  <si>
    <t>Ostatní náklady jinde neuvedené</t>
  </si>
  <si>
    <t>Předání a převzetí díla</t>
  </si>
  <si>
    <t>HSV</t>
  </si>
  <si>
    <t>součet</t>
  </si>
  <si>
    <t>Materiál elektromontážní</t>
  </si>
  <si>
    <t>Zemní práce</t>
  </si>
  <si>
    <t>Cena celkem</t>
  </si>
  <si>
    <t xml:space="preserve">Pásek FeZn 30/4 </t>
  </si>
  <si>
    <t>Svorka zemnící</t>
  </si>
  <si>
    <t xml:space="preserve">Montážní materiál </t>
  </si>
  <si>
    <t>Revize elektro</t>
  </si>
  <si>
    <t xml:space="preserve">Celkem přípojka </t>
  </si>
  <si>
    <t>1</t>
  </si>
  <si>
    <t>VRN 1 -  Příprava a zařízení staveniště ( to, co není uvedeno v ZOV)</t>
  </si>
  <si>
    <t>Kč bez DPH</t>
  </si>
  <si>
    <t>1.1</t>
  </si>
  <si>
    <t>Příprava staveniště</t>
  </si>
  <si>
    <t>1.2</t>
  </si>
  <si>
    <t>Provozní a sociální vybavení pracoviště, ostatní zařízení staveniště (např. osvětlení ZS, náklady na provoz a údržbu ZS, na měření a spotřebu médií, informační tabule, apd.)</t>
  </si>
  <si>
    <t>1.3</t>
  </si>
  <si>
    <t>Uvedení vozovek, obslužných a skladových ploch dotčených výstavbou do  původního stavu.</t>
  </si>
  <si>
    <t>1.4</t>
  </si>
  <si>
    <t>1.5</t>
  </si>
  <si>
    <t>Celkem VRN 1</t>
  </si>
  <si>
    <t>2</t>
  </si>
  <si>
    <t>2.1</t>
  </si>
  <si>
    <t>Celkem VRN 2</t>
  </si>
  <si>
    <t>3.</t>
  </si>
  <si>
    <t>3.1</t>
  </si>
  <si>
    <t>Vytýčení prostorové polohy SO, vytýčení hranic pozemků, vytýčení obvodu staveniště</t>
  </si>
  <si>
    <t>3.2</t>
  </si>
  <si>
    <t>Vytýčení inženýrských sítí, ruční kopání sond pro jejich zjištění,ruční výkopy v místě zjištění inž.sítí</t>
  </si>
  <si>
    <t>3.3</t>
  </si>
  <si>
    <t>3.5</t>
  </si>
  <si>
    <t>3.6</t>
  </si>
  <si>
    <t>Celkem VRN 3</t>
  </si>
  <si>
    <t>Stálá vysvětlující tabulka dle čl.8 bodu 2 Nařízení Komise (ES) č.1828/2006</t>
  </si>
  <si>
    <t>Celkem všechny VRN</t>
  </si>
  <si>
    <t>Kabel CYKY 4Jx10</t>
  </si>
  <si>
    <t xml:space="preserve">Výkop kabel.rýhy šířka 35/hloubka 120cm tz.4/ko1.0 vč.záhozu, písku, desky, odvozu apod. - komplet </t>
  </si>
  <si>
    <t>Trubka kopoflex KF 09110</t>
  </si>
  <si>
    <t>Kolešovice - kanalizace</t>
  </si>
  <si>
    <t>SO 30</t>
  </si>
  <si>
    <t>SO 40</t>
  </si>
  <si>
    <t>SO 30.1</t>
  </si>
  <si>
    <t>stoka A</t>
  </si>
  <si>
    <t>ČSOV 2 a výtlak V1</t>
  </si>
  <si>
    <t>ČSOV 3 a výtlak V2</t>
  </si>
  <si>
    <t xml:space="preserve">SO 60 </t>
  </si>
  <si>
    <t>stoka C,D</t>
  </si>
  <si>
    <t>PS 20.2</t>
  </si>
  <si>
    <t>Strojně technické vybavení ČSOV2</t>
  </si>
  <si>
    <t>PS 20.3</t>
  </si>
  <si>
    <t>Strojně technické vybavení ČSOV3</t>
  </si>
  <si>
    <t>PS 20.4</t>
  </si>
  <si>
    <t>PS 20.5</t>
  </si>
  <si>
    <t>přípojka a elektrotechnické vybavení ČSOV2</t>
  </si>
  <si>
    <t>přípojka a elektrotechnické vybavení ČSOV3</t>
  </si>
  <si>
    <t>Kolešovice- kanalizace</t>
  </si>
  <si>
    <t>Strojní a technolog.vybavení ČSOV 2</t>
  </si>
  <si>
    <t>ks</t>
  </si>
  <si>
    <t xml:space="preserve">Vodící tyče čerpadel 5/4", mat. 1.4301 </t>
  </si>
  <si>
    <t>kpl</t>
  </si>
  <si>
    <t>m</t>
  </si>
  <si>
    <t>Žebřík nerez 4,8 m, mat. 1.4301</t>
  </si>
  <si>
    <t>Kotevní materiál pro potrubí a čerpadla, 1.4301</t>
  </si>
  <si>
    <t>Strojní a technolog.vybavení ČSOV 3</t>
  </si>
  <si>
    <t>P.Č.</t>
  </si>
  <si>
    <t>KCN</t>
  </si>
  <si>
    <t>Kód položky</t>
  </si>
  <si>
    <t>Popis</t>
  </si>
  <si>
    <t>Množství celkem</t>
  </si>
  <si>
    <t>Cena jednotková</t>
  </si>
  <si>
    <t>3</t>
  </si>
  <si>
    <t>4</t>
  </si>
  <si>
    <t>5</t>
  </si>
  <si>
    <t>6</t>
  </si>
  <si>
    <t>7</t>
  </si>
  <si>
    <t>8</t>
  </si>
  <si>
    <t>Práce a dodávky HSV</t>
  </si>
  <si>
    <t>001</t>
  </si>
  <si>
    <t>115101201</t>
  </si>
  <si>
    <t>Čerpání vody na dopravní výšku do 10 m průměrný přítok do 500 l/min</t>
  </si>
  <si>
    <t>hod</t>
  </si>
  <si>
    <t>115101301</t>
  </si>
  <si>
    <t>Pohotovost čerpací soupravy pro dopravní výšku do 10 m přítok do 500 l/min</t>
  </si>
  <si>
    <t>den</t>
  </si>
  <si>
    <t>115001101</t>
  </si>
  <si>
    <t>Převedení vody potrubím DN do 100</t>
  </si>
  <si>
    <t>120001101</t>
  </si>
  <si>
    <t>Příplatek za ztížení vykopávky v blízkosti podzemního vedení</t>
  </si>
  <si>
    <t>m3</t>
  </si>
  <si>
    <t>121101102</t>
  </si>
  <si>
    <t>Sejmutí ornice s přemístěním na vzdálenost do 100 m</t>
  </si>
  <si>
    <t>131201101</t>
  </si>
  <si>
    <t>131201109</t>
  </si>
  <si>
    <t>Příplatek za lepivost u hloubení jam nezapažených v hornině tř. 3</t>
  </si>
  <si>
    <t>131301101</t>
  </si>
  <si>
    <t>Hloubení jam nezapažených v hornině tř. 4 objemu do 100 m3</t>
  </si>
  <si>
    <t>131301109</t>
  </si>
  <si>
    <t>Příplatek za lepivost u hloubení jam nezapažených v hornině tř. 4</t>
  </si>
  <si>
    <t>132201202</t>
  </si>
  <si>
    <t>Hloubení rýh š do 2000 mm v hornině tř. 3 objemu do 1000 m3</t>
  </si>
  <si>
    <t>132201209</t>
  </si>
  <si>
    <t>příplatek za lepivost</t>
  </si>
  <si>
    <t>132301202</t>
  </si>
  <si>
    <t>132301209</t>
  </si>
  <si>
    <t>Příplatek za lepivost k hloubení rýh š do 2000 mm v hornině tř. 4</t>
  </si>
  <si>
    <t>161101101</t>
  </si>
  <si>
    <t>Svislé přemístění výkopku z horniny tř. 1 až 4 hl výkopu do 2,5 m</t>
  </si>
  <si>
    <t>161101102</t>
  </si>
  <si>
    <t>Svislé přemístění výkopku z horniny tř. 1 až 4 hl výkopu do 4 m</t>
  </si>
  <si>
    <t>4*4*1,5</t>
  </si>
  <si>
    <t>161101103</t>
  </si>
  <si>
    <t>Svislé přemístění výkopku z horniny tř. 1 až 4 hl výkopu do 6 m</t>
  </si>
  <si>
    <t>151101101</t>
  </si>
  <si>
    <t>Zřízení příložného pažení a rozepření stěn rýh hl do 2 m</t>
  </si>
  <si>
    <t>m2</t>
  </si>
  <si>
    <t>256,9*(1,7-0,2)*2</t>
  </si>
  <si>
    <t>4*4*2</t>
  </si>
  <si>
    <t>151101111</t>
  </si>
  <si>
    <t>Odstranění příložného pažení a rozepření stěn rýh hl do 2 m</t>
  </si>
  <si>
    <t>151101102</t>
  </si>
  <si>
    <t>Zřízení příložného pažení a rozepření stěn rýh hl do 4 m</t>
  </si>
  <si>
    <t>151101112</t>
  </si>
  <si>
    <t>Odstranění příložného pažení a rozepření stěn rýh hl do 4 m</t>
  </si>
  <si>
    <t>151101103</t>
  </si>
  <si>
    <t>Zřízení příložného pažení a rozepření stěn rýh hl do 8 m</t>
  </si>
  <si>
    <t>151101113</t>
  </si>
  <si>
    <t>Odstranění příložného pažení a rozepření stěn rýh hl do 8 m</t>
  </si>
  <si>
    <t>162201102</t>
  </si>
  <si>
    <t>Vodorovné přemístění do 50 m výkopku z horniny tř. 1 až 4</t>
  </si>
  <si>
    <t>162401102</t>
  </si>
  <si>
    <t>23,121+92,484+3,14*1,4*1,4*5,4+2*2*2,3*2</t>
  </si>
  <si>
    <t>162701105</t>
  </si>
  <si>
    <t>Vodorovné přemístění do 10000 m výkopku z horniny tř. 1 až 4</t>
  </si>
  <si>
    <t>167,329</t>
  </si>
  <si>
    <t>162701109</t>
  </si>
  <si>
    <t>Příplatek k vodorovnému přemístění výkopku z horniny tř. 1 až 4 ZKD 1000 m přes 10000 m</t>
  </si>
  <si>
    <t>167101102</t>
  </si>
  <si>
    <t>Nakládání výkopku z hornin tř. 1 až 4 přes 100 m3</t>
  </si>
  <si>
    <t>171201201</t>
  </si>
  <si>
    <t>Uložení sypaniny na skládky</t>
  </si>
  <si>
    <t>171201211</t>
  </si>
  <si>
    <t>Poplatek za uložení odpadu ze sypaniny na skládce (skládkovné)</t>
  </si>
  <si>
    <t>t</t>
  </si>
  <si>
    <t>167,329*1,7</t>
  </si>
  <si>
    <t>174101101</t>
  </si>
  <si>
    <t>Zásyp jam, šachet rýh nebo kolem objektů sypaninou se zhutněním</t>
  </si>
  <si>
    <t>181301102</t>
  </si>
  <si>
    <t>Rozprostření ornice tl vrstvy do 150 mm pl do 500 m2 v rovině nebo ve svahu do 1:5</t>
  </si>
  <si>
    <t>231</t>
  </si>
  <si>
    <t>180401213</t>
  </si>
  <si>
    <t>Založení lučního trávníku výsevem ve svahu do 1:1</t>
  </si>
  <si>
    <t>005724100</t>
  </si>
  <si>
    <t>osivo směs travní parková rekreační</t>
  </si>
  <si>
    <t>kg</t>
  </si>
  <si>
    <t>181102302</t>
  </si>
  <si>
    <t>Úprava pláně v zářezech se zhutněním</t>
  </si>
  <si>
    <t>156,9*0,9+4*4+3,2*3,2*2</t>
  </si>
  <si>
    <t>175101101</t>
  </si>
  <si>
    <t>Obsyp potrubí bez prohození sypaniny z hornin tř. 1 až 4 uloženým do 3 m od kraje výkopu</t>
  </si>
  <si>
    <t>kamenivo drobné pro obsyp poturbí</t>
  </si>
  <si>
    <t>271</t>
  </si>
  <si>
    <t>451573111</t>
  </si>
  <si>
    <t>lože pod poturbí z písku</t>
  </si>
  <si>
    <t>256,9*0,9*0,1</t>
  </si>
  <si>
    <t>Trubní vedení</t>
  </si>
  <si>
    <t>857264121</t>
  </si>
  <si>
    <t>kus</t>
  </si>
  <si>
    <t>877251121</t>
  </si>
  <si>
    <t>43</t>
  </si>
  <si>
    <t>15</t>
  </si>
  <si>
    <t>529</t>
  </si>
  <si>
    <t>530</t>
  </si>
  <si>
    <t>bajonetový uzáběr 90</t>
  </si>
  <si>
    <t>224</t>
  </si>
  <si>
    <t>565</t>
  </si>
  <si>
    <t>871241121</t>
  </si>
  <si>
    <t>Montáž potrubí z trubek z tlakového polyetylénu otevřený výkop svařovaných vnější průměr 90 mm</t>
  </si>
  <si>
    <t>226</t>
  </si>
  <si>
    <t>524</t>
  </si>
  <si>
    <t>891241221</t>
  </si>
  <si>
    <t>Montáž vodovodních šoupátek s ručním kolečkem v šachtách DN 80</t>
  </si>
  <si>
    <t>525</t>
  </si>
  <si>
    <t>526</t>
  </si>
  <si>
    <t>kolo ruční</t>
  </si>
  <si>
    <t>532</t>
  </si>
  <si>
    <t>spojovací materiál</t>
  </si>
  <si>
    <t>892241111</t>
  </si>
  <si>
    <t>Tlaková zkouška vodovodního potrubí do 80</t>
  </si>
  <si>
    <t>X31</t>
  </si>
  <si>
    <t>doprava prefabrikátů do 1km</t>
  </si>
  <si>
    <t>333</t>
  </si>
  <si>
    <t>vyvrtání otvorů do prefa nádrže</t>
  </si>
  <si>
    <t>x33</t>
  </si>
  <si>
    <t>utěsnění potrubí výtlaku a  kabeluv předem připravených prostupech</t>
  </si>
  <si>
    <t>Zakládání</t>
  </si>
  <si>
    <t>212752212</t>
  </si>
  <si>
    <t>Trativod z drenážních trubek plastových flexibilních D do 100 mm včetně lože otevřený výkop</t>
  </si>
  <si>
    <t>Vodorovné konstrukce</t>
  </si>
  <si>
    <t>011</t>
  </si>
  <si>
    <t>271572211</t>
  </si>
  <si>
    <t>Násyp pod základové konstrukce se zhutněním z netříděného štěrkopísku</t>
  </si>
  <si>
    <t>4*4*0,2</t>
  </si>
  <si>
    <t>3,2*3,2*2*0,2</t>
  </si>
  <si>
    <t>452311141</t>
  </si>
  <si>
    <t>3,14*2*2*0,1</t>
  </si>
  <si>
    <t>2,4*2,4*2*0,1</t>
  </si>
  <si>
    <t>273351215</t>
  </si>
  <si>
    <t>Zřízení bednění stěn základových desek</t>
  </si>
  <si>
    <t>273351216</t>
  </si>
  <si>
    <t>Odstranění bednění stěn základových desek</t>
  </si>
  <si>
    <t>Svislé a kompletní konstrukce</t>
  </si>
  <si>
    <t>342122141</t>
  </si>
  <si>
    <t>montáž prefa dílců nádrží do 3t</t>
  </si>
  <si>
    <t>342123043</t>
  </si>
  <si>
    <t>montáž prefa dílců nádrží do 7t</t>
  </si>
  <si>
    <t>342123054</t>
  </si>
  <si>
    <t>montáž dna nádrží prefa do 13t</t>
  </si>
  <si>
    <t>34</t>
  </si>
  <si>
    <t>dno jímky 2500/1800</t>
  </si>
  <si>
    <t>36</t>
  </si>
  <si>
    <t>nástavec jímky 2500/1600</t>
  </si>
  <si>
    <t>38</t>
  </si>
  <si>
    <t>241</t>
  </si>
  <si>
    <t>těsnění pryžové d 2500</t>
  </si>
  <si>
    <t>015</t>
  </si>
  <si>
    <t>933901311</t>
  </si>
  <si>
    <t>Naplnění a vyprázdnění nádrže pro zkoušku nepropustnosti</t>
  </si>
  <si>
    <t>3,14*1,25*1,25*4,95-1,088</t>
  </si>
  <si>
    <t>933901511</t>
  </si>
  <si>
    <t>Provedení zkoušky vodotěsnosti a plynotěsnosti vyhnívací nádrže do 600 m3</t>
  </si>
  <si>
    <t>23,198</t>
  </si>
  <si>
    <t>952903112</t>
  </si>
  <si>
    <t>Vyčištění objektů ČOV, nádrží, žlabů a kanálů při v do 3,5 m</t>
  </si>
  <si>
    <t>3,14*1,25*1,25</t>
  </si>
  <si>
    <t>1,5*1,5*2</t>
  </si>
  <si>
    <t>952903119</t>
  </si>
  <si>
    <t>Příplatek za vyčištění prostor v nad 3,5 m u čištění objektů ČOV, nádrží, žlabů a kanálů</t>
  </si>
  <si>
    <t>953171022</t>
  </si>
  <si>
    <t>Osazování poklopů litinových nebo ocelových hmotnosti do 100 kg - nádrže</t>
  </si>
  <si>
    <t>12</t>
  </si>
  <si>
    <t>poklop ocelový d 600 uzamykatelný</t>
  </si>
  <si>
    <t>13</t>
  </si>
  <si>
    <t>9</t>
  </si>
  <si>
    <t>Ostatní konstrukce a práce-bourání</t>
  </si>
  <si>
    <t>99</t>
  </si>
  <si>
    <t>Přesun hmot</t>
  </si>
  <si>
    <t>119001421</t>
  </si>
  <si>
    <t>Dočasné zajištění kabelů a kabelových tratí ze 3 volně ložených kabelů</t>
  </si>
  <si>
    <t>21</t>
  </si>
  <si>
    <t>22</t>
  </si>
  <si>
    <t>222</t>
  </si>
  <si>
    <t>24</t>
  </si>
  <si>
    <t>548</t>
  </si>
  <si>
    <t>rozebrání a obnova chodníku dlážd.</t>
  </si>
  <si>
    <t>998276101</t>
  </si>
  <si>
    <t>Celkem</t>
  </si>
  <si>
    <t>6*1,8*0,8*3</t>
  </si>
  <si>
    <t>Hloubení jam nezapažených v hornině tř. 3 objemu do 100 m3</t>
  </si>
  <si>
    <t>28,728</t>
  </si>
  <si>
    <t>Hloubení rýh š do 2000 mm v hornině tř. 4 objemu do 1000 m3</t>
  </si>
  <si>
    <t>237*1,7*2</t>
  </si>
  <si>
    <t>57,456*2+139,523*2-4*4*1,6</t>
  </si>
  <si>
    <t>4*4*1,6</t>
  </si>
  <si>
    <t>Vodorovné přemístění do 2000 m výkopku z horniny tř. 1 až 4</t>
  </si>
  <si>
    <t>57,456*2+139,523*2</t>
  </si>
  <si>
    <t>393,958</t>
  </si>
  <si>
    <t>393,958*1,7</t>
  </si>
  <si>
    <t>-145*1,3*(0,59-0,45)</t>
  </si>
  <si>
    <t>-92*1,3*(0,46-0,3)</t>
  </si>
  <si>
    <t>523</t>
  </si>
  <si>
    <t>materiál pro hutnitelný zásyp vč. pořízení a dopravy</t>
  </si>
  <si>
    <t>237*0,9+4*4+3,2*3,2*2</t>
  </si>
  <si>
    <t>237*0,9*0,1</t>
  </si>
  <si>
    <t>237</t>
  </si>
  <si>
    <t>40</t>
  </si>
  <si>
    <t>892271111</t>
  </si>
  <si>
    <t>Podkladní desky z betonu prostého tř. C 16/20 otevřený výkop</t>
  </si>
  <si>
    <t>3,14*1,25*1,25*3,3-1,088</t>
  </si>
  <si>
    <t>poklop ocelový uzamykatelný D 600mm</t>
  </si>
  <si>
    <t>Komunikace</t>
  </si>
  <si>
    <t>221</t>
  </si>
  <si>
    <t>919735112</t>
  </si>
  <si>
    <t>Řezání stávajícího živičného krytu hl do 100 mm</t>
  </si>
  <si>
    <t>237*2+3*4</t>
  </si>
  <si>
    <t>113107161</t>
  </si>
  <si>
    <t>Odstranění podkladu pl přes 50 do 200 m2 z kameniva drceného tl 100 mm</t>
  </si>
  <si>
    <t>196,39</t>
  </si>
  <si>
    <t>113107181</t>
  </si>
  <si>
    <t>Odstranění podkladu pl přes 50 do 200 m2 živičných tl 50 mm</t>
  </si>
  <si>
    <t>145*(0,9+2*0,2)</t>
  </si>
  <si>
    <t>(3,2+2*0,2)*(3,2+2*0,2)-3,9*1,3</t>
  </si>
  <si>
    <t>113107182</t>
  </si>
  <si>
    <t>státní</t>
  </si>
  <si>
    <t>(0,9+2*0,2)*145</t>
  </si>
  <si>
    <t>(0,9+2*0,2)*92</t>
  </si>
  <si>
    <t>4,4*4,4</t>
  </si>
  <si>
    <t>113107212</t>
  </si>
  <si>
    <t>Odstranění podkladu pl přes 200 m2 z kameniva těženého tl 200 mm</t>
  </si>
  <si>
    <t>státní a místní</t>
  </si>
  <si>
    <t>343,24</t>
  </si>
  <si>
    <t>321</t>
  </si>
  <si>
    <t>979082313</t>
  </si>
  <si>
    <t>19,246+62,126+78,155</t>
  </si>
  <si>
    <t>979082319</t>
  </si>
  <si>
    <t>Příplatek ZKD 1000 m vodorovné dopravy suti a vybouraných hmot po suchu</t>
  </si>
  <si>
    <t>159,527*11</t>
  </si>
  <si>
    <t>335</t>
  </si>
  <si>
    <t>poplatek za uložení asdaltu</t>
  </si>
  <si>
    <t>25,531+82,378</t>
  </si>
  <si>
    <t>107,909*27</t>
  </si>
  <si>
    <t>564861111</t>
  </si>
  <si>
    <t>564751114</t>
  </si>
  <si>
    <t>Podklad z kameniva hrubého drceného vel. 32-63 mm tl 180 mm</t>
  </si>
  <si>
    <t>146,85</t>
  </si>
  <si>
    <t>564851113</t>
  </si>
  <si>
    <t>Podklad ze štěrkodrtě ŠD tl 170 mm</t>
  </si>
  <si>
    <t>343,24-196,39</t>
  </si>
  <si>
    <t>564962111</t>
  </si>
  <si>
    <t>Podklad z mechanicky zpevněného kameniva MZK tl 200 mm</t>
  </si>
  <si>
    <t>565155111</t>
  </si>
  <si>
    <t>Asfaltový beton vrstva podkladní ACP 16 (obalované kamenivo OKS) tl 70 mm š do 3 m</t>
  </si>
  <si>
    <t>573211111</t>
  </si>
  <si>
    <t>Postřik živičný spojovací z asfaltu v množství do 0,70 kg/m2</t>
  </si>
  <si>
    <t>196,39+146,85</t>
  </si>
  <si>
    <t>577133111</t>
  </si>
  <si>
    <t>Asfaltový beton vrstva obrusná ACO 8 (ABJ) tl 40 mm š do 3 m z nemodifikovaného asfaltu</t>
  </si>
  <si>
    <t>místní</t>
  </si>
  <si>
    <t>577144111</t>
  </si>
  <si>
    <t>Asfaltový beton vrstva obrusná ACO 11 (ABS) tř. I tl 50 mm š do 3 m z nemodifikovaného asfaltu</t>
  </si>
  <si>
    <t>577165112</t>
  </si>
  <si>
    <t>Asfaltový beton vrstva ložní ACL 16 (ABH) tl 70 mm š do 3 m z nemodifikovaného asfaltu</t>
  </si>
  <si>
    <t>577166111</t>
  </si>
  <si>
    <t>Asfaltový beton vrstva ložní ACL 22 (ABVH) tl 70 mm š do 3 m z nemodifikovaného asfaltu</t>
  </si>
  <si>
    <t>599142111</t>
  </si>
  <si>
    <t>Úprava zálivky dilatačních nebo pracovních spár v cementobetonovém krytu hl do 40 mm š do 40 mm</t>
  </si>
  <si>
    <t>113151115</t>
  </si>
  <si>
    <t>Odstranění živičného krytu frézováním pl do 500 m2 tl 60 mm s naložením</t>
  </si>
  <si>
    <t>145*3,5</t>
  </si>
  <si>
    <t>577135121</t>
  </si>
  <si>
    <t>Asfaltový beton vrstva obrusná ACO 16 (ABH) tl 40 mm š přes 3 m z nemodifikovaného asfaltu</t>
  </si>
  <si>
    <t>119001401</t>
  </si>
  <si>
    <t>Dočasné zajištění potrubí ocelového nebo litinového DN do 200</t>
  </si>
  <si>
    <t>119001411</t>
  </si>
  <si>
    <t>Dočasné zajištění potrubí betonového, ŽB nebo kameninového DN do 200</t>
  </si>
  <si>
    <t>119001412</t>
  </si>
  <si>
    <t>Dočasné zajištění potrubí betonového, ŽB nebo kameninového DN do 500</t>
  </si>
  <si>
    <t>Přesun hmot pro trubní vedení z trub z plastických hmot otevřený výkop</t>
  </si>
  <si>
    <t>1267,4*2*2</t>
  </si>
  <si>
    <t>1267,4*2*0,59</t>
  </si>
  <si>
    <t>5069,6</t>
  </si>
  <si>
    <t>1495,532</t>
  </si>
  <si>
    <t>-815,04</t>
  </si>
  <si>
    <t>-126,74</t>
  </si>
  <si>
    <t>-35*3,14*0,62*0,62*2,79</t>
  </si>
  <si>
    <t>1092*1*0,65</t>
  </si>
  <si>
    <t>175,4*1*0,6</t>
  </si>
  <si>
    <t>815,04*1,8</t>
  </si>
  <si>
    <t>181301103</t>
  </si>
  <si>
    <t>1267,4*1+35*1,2*2,2</t>
  </si>
  <si>
    <t>1267,4*1*0,1</t>
  </si>
  <si>
    <t>-28*3,14*0,62*0,62*2,79</t>
  </si>
  <si>
    <t>39*1,5*4*0,1</t>
  </si>
  <si>
    <t>3,14*0,7*0,7*0,1*39</t>
  </si>
  <si>
    <t>(522+477,6)*2</t>
  </si>
  <si>
    <t>Odstranění podkladu pl přes 50 do 200 m2 živičných tl 100 mm</t>
  </si>
  <si>
    <t>Podklad ze štěrkodrtě ŠD tl 200 mm</t>
  </si>
  <si>
    <t>522*3,5</t>
  </si>
  <si>
    <t>522</t>
  </si>
  <si>
    <t>Vodorovná doprava suti a vybouraných hmot po suchu nad 500 do 1000 m</t>
  </si>
  <si>
    <t>76,024+272,499+281,358</t>
  </si>
  <si>
    <t>629,881*2</t>
  </si>
  <si>
    <t>100,849+361,325</t>
  </si>
  <si>
    <t>šachta revizní betonová d+m</t>
  </si>
  <si>
    <t>899103111</t>
  </si>
  <si>
    <t>Osazení poklopů litinových nebo ocelových včetně rámů hmotnosti nad 100 do 150 kg</t>
  </si>
  <si>
    <t>730</t>
  </si>
  <si>
    <t>poklop litinový kanalizační prům 600mm D</t>
  </si>
  <si>
    <t>899102111</t>
  </si>
  <si>
    <t>731</t>
  </si>
  <si>
    <t>poklop litinový kanal. prům. 600mm B</t>
  </si>
  <si>
    <t>831362121</t>
  </si>
  <si>
    <t>Montáž potrubí z trub kameninových hrdlových s integrovaným těsněním výkop sklon do 20 % DN 250</t>
  </si>
  <si>
    <t>597107020</t>
  </si>
  <si>
    <t>trouba kameninová glazovaná DN250mm L2,50m spojovací systém C Třida 160</t>
  </si>
  <si>
    <t>(176-5*0,6)*1,015</t>
  </si>
  <si>
    <t>597108760</t>
  </si>
  <si>
    <t>trouba kameninová glazovaná zkrácená GA DN250mm L60cm spojovací systém C</t>
  </si>
  <si>
    <t>5*1,015</t>
  </si>
  <si>
    <t>831372121</t>
  </si>
  <si>
    <t>Montáž potrubí z trub kameninových hrdlových s integrovaným těsněním výkop sklon do 20 % DN 300</t>
  </si>
  <si>
    <t>597107110</t>
  </si>
  <si>
    <t>trouba kameninová glazovaná DN300mm L2,50m spojovací systém C Třída 160</t>
  </si>
  <si>
    <t>(1092-0,6*34)*1,015</t>
  </si>
  <si>
    <t>597108790</t>
  </si>
  <si>
    <t>trouba kameninová glazovaná zkrácená GA DN300mm L60cm spojovací systém C</t>
  </si>
  <si>
    <t>35*1,015</t>
  </si>
  <si>
    <t>837371221</t>
  </si>
  <si>
    <t>Montáž kameninových tvarovek odbočných s integrovaným těsněním otevřený výkop DN 300</t>
  </si>
  <si>
    <t>597133440</t>
  </si>
  <si>
    <t>P kroužky DN 300 třída 160</t>
  </si>
  <si>
    <t>597117700</t>
  </si>
  <si>
    <t>odbočka kameninová glazovaná jednoduchá kolmá DN300/150 L50cm spojovací systém C/F tř.160/-</t>
  </si>
  <si>
    <t>597117600</t>
  </si>
  <si>
    <t>837312221</t>
  </si>
  <si>
    <t>286117220</t>
  </si>
  <si>
    <t>55*1,0150000</t>
  </si>
  <si>
    <t>721</t>
  </si>
  <si>
    <t>722290234</t>
  </si>
  <si>
    <t>722290237</t>
  </si>
  <si>
    <t>998275101</t>
  </si>
  <si>
    <t>39*3*2,554</t>
  </si>
  <si>
    <t>1000,6*2*2</t>
  </si>
  <si>
    <t>1000,6*0,554*2</t>
  </si>
  <si>
    <t>pažit a proto nebudou výkopy hlubší než 4mn</t>
  </si>
  <si>
    <t>1108,665</t>
  </si>
  <si>
    <t>(27,3*1*2,36+31,6*1*2,31+14,9*1*2,31+11,6*1*2,37+18,9*1*2,44+18,5*1*2,5+50*1*2,5+49,7*1*2,5+21,6*1*2,5+43,9*1*2,48+24,6*1*2,43+12,2*1*2,34)*1</t>
  </si>
  <si>
    <t>(50*1*2,43+31,1*1*2,49+31,1*1*2,45+50*1*2,5+47*1*2,5+26,8*1*2,5+36,1*1*2,5+35*1*2,5+34,2*1*2,43)*1</t>
  </si>
  <si>
    <t>(24,5*1*2,5+46*1*2,5)*1</t>
  </si>
  <si>
    <t>(44,9*1*2,43+50*1*2,49+32*1*2,5+39,4*1*2,49+47,7*1*2,5)*1</t>
  </si>
  <si>
    <t>(50*1*2,5)*1</t>
  </si>
  <si>
    <t>29*1,2*2,2*(1341,53*2/1000,6)*1</t>
  </si>
  <si>
    <t>-383*1*0,45*1</t>
  </si>
  <si>
    <t>-587*1*0,3*1</t>
  </si>
  <si>
    <t>-29*2,2*1,2*0,35*1</t>
  </si>
  <si>
    <t>1272,958*2-2299,898</t>
  </si>
  <si>
    <t>1272,958*2</t>
  </si>
  <si>
    <t>-646,865</t>
  </si>
  <si>
    <t>-100,06</t>
  </si>
  <si>
    <t>-29*3,14*0,62*0,62*2,554</t>
  </si>
  <si>
    <t>930,1*1*0,65</t>
  </si>
  <si>
    <t>70,5*1*0,6</t>
  </si>
  <si>
    <t>646,865*1,8</t>
  </si>
  <si>
    <t>1000,6*1+29*1,2*2,2</t>
  </si>
  <si>
    <t>1000,6*1*0,1</t>
  </si>
  <si>
    <t>-(383+587)*1*0,1</t>
  </si>
  <si>
    <t>-(383+587)*1*0,65</t>
  </si>
  <si>
    <t>-29*3,14*0,62*0,62*2,79</t>
  </si>
  <si>
    <t>29*2,2*1,2*2,54</t>
  </si>
  <si>
    <t>29*1,5*4*0,1</t>
  </si>
  <si>
    <t>3,14*0,7*0,7*0,1*29</t>
  </si>
  <si>
    <t>383*3,5</t>
  </si>
  <si>
    <t>358,666+74,888</t>
  </si>
  <si>
    <t>56,454+270,494+206,437</t>
  </si>
  <si>
    <t>1340,5</t>
  </si>
  <si>
    <t>383</t>
  </si>
  <si>
    <t>1000,6*2</t>
  </si>
  <si>
    <t>433,554</t>
  </si>
  <si>
    <t>podkladní kamenivo</t>
  </si>
  <si>
    <t>533,385</t>
  </si>
  <si>
    <t>asfalt</t>
  </si>
  <si>
    <t>533,385*2</t>
  </si>
  <si>
    <t>70,5</t>
  </si>
  <si>
    <t>(70,5-17*0,6)*1,015</t>
  </si>
  <si>
    <t>17*1,015</t>
  </si>
  <si>
    <t>930,1</t>
  </si>
  <si>
    <t>(930,1-0,6*12)*1,015</t>
  </si>
  <si>
    <t>12*1,015</t>
  </si>
  <si>
    <t>Montáž kameninových tvarovek jednoosých s integrovaným těsněním otevřený výkop DN 150</t>
  </si>
  <si>
    <t>64*1,0150000</t>
  </si>
  <si>
    <t>odbočka kameninová glazovaná jednoduchá kolmá DN250/150 L50cm spojovací systém C/F tř.160/-</t>
  </si>
  <si>
    <t>Kamerová zkouška</t>
  </si>
  <si>
    <t>Přesun hmot pro trubní vedení z trub kameninových otevřený výkop</t>
  </si>
  <si>
    <t>trubka vodovodní HDPE d 90</t>
  </si>
  <si>
    <t>ROZPOČET</t>
  </si>
  <si>
    <t>Stavba:</t>
  </si>
  <si>
    <t>Objekt:</t>
  </si>
  <si>
    <t>Část:</t>
  </si>
  <si>
    <t>JKSO:</t>
  </si>
  <si>
    <t>Objednatel:</t>
  </si>
  <si>
    <t>Zhotovitel:</t>
  </si>
  <si>
    <t>Datum:</t>
  </si>
  <si>
    <t>23.4.2013</t>
  </si>
  <si>
    <t>TV</t>
  </si>
  <si>
    <t>D</t>
  </si>
  <si>
    <t>K</t>
  </si>
  <si>
    <t>ČS</t>
  </si>
  <si>
    <t>ČS2-1,ČS2-2</t>
  </si>
  <si>
    <t>10</t>
  </si>
  <si>
    <t>PK</t>
  </si>
  <si>
    <t>11</t>
  </si>
  <si>
    <t>14</t>
  </si>
  <si>
    <t>16</t>
  </si>
  <si>
    <t>17</t>
  </si>
  <si>
    <t>18</t>
  </si>
  <si>
    <t>19</t>
  </si>
  <si>
    <t>20</t>
  </si>
  <si>
    <t>23</t>
  </si>
  <si>
    <t>25</t>
  </si>
  <si>
    <t>odpočet zesílení vrstev státní silnice</t>
  </si>
  <si>
    <t>odpočet zesílení vrstev místní komunikace</t>
  </si>
  <si>
    <t>26</t>
  </si>
  <si>
    <t>27</t>
  </si>
  <si>
    <t>28</t>
  </si>
  <si>
    <t>M</t>
  </si>
  <si>
    <t>MAT</t>
  </si>
  <si>
    <t>kamenivo drobné pro obsyp potrubí</t>
  </si>
  <si>
    <t>29</t>
  </si>
  <si>
    <t>30</t>
  </si>
  <si>
    <t>31</t>
  </si>
  <si>
    <t xml:space="preserve"> 857242121</t>
  </si>
  <si>
    <t>montáž lit. tvarovek přír. jednoosých</t>
  </si>
  <si>
    <t>32</t>
  </si>
  <si>
    <t>signalizační vodič Cu 6mm2</t>
  </si>
  <si>
    <t>33</t>
  </si>
  <si>
    <t>lemový nákružek a příruba D 90</t>
  </si>
  <si>
    <t>šoupě kalové nožové D 90</t>
  </si>
  <si>
    <t>35</t>
  </si>
  <si>
    <t>koleno 90° litin.D 90</t>
  </si>
  <si>
    <t>37</t>
  </si>
  <si>
    <t>39</t>
  </si>
  <si>
    <t xml:space="preserve">sgnalizační folie </t>
  </si>
  <si>
    <t>Montáž litinových tvarovek odbočných přírubových otevřený výkop DN 90</t>
  </si>
  <si>
    <t>41</t>
  </si>
  <si>
    <t>T kus odbočka litin přír. 90/90</t>
  </si>
  <si>
    <t>42</t>
  </si>
  <si>
    <t>44</t>
  </si>
  <si>
    <t>Montáž elektrotvarovek na potrubí z trubek z tlakového PE otevřený výkop vnější průměr 90 mm</t>
  </si>
  <si>
    <t xml:space="preserve"> počet spojů 237/6=39,5</t>
  </si>
  <si>
    <t>45</t>
  </si>
  <si>
    <t>elektrospojka DN 80</t>
  </si>
  <si>
    <t>46</t>
  </si>
  <si>
    <t>47</t>
  </si>
  <si>
    <t>Tlaková zkouška vodovodního potrubí DN 100 nebo 125</t>
  </si>
  <si>
    <t>48</t>
  </si>
  <si>
    <t>49</t>
  </si>
  <si>
    <t>čerp. šachta</t>
  </si>
  <si>
    <t>čist. šachty</t>
  </si>
  <si>
    <t>50</t>
  </si>
  <si>
    <t>51</t>
  </si>
  <si>
    <t>52</t>
  </si>
  <si>
    <t>53</t>
  </si>
  <si>
    <t>54</t>
  </si>
  <si>
    <t>55</t>
  </si>
  <si>
    <t>56</t>
  </si>
  <si>
    <t>57</t>
  </si>
  <si>
    <t>58</t>
  </si>
  <si>
    <t>59</t>
  </si>
  <si>
    <t xml:space="preserve">víko jímky 2500 </t>
  </si>
  <si>
    <t>60</t>
  </si>
  <si>
    <t>61</t>
  </si>
  <si>
    <t>62</t>
  </si>
  <si>
    <t>čerpací šachta</t>
  </si>
  <si>
    <t>čisticí šachty</t>
  </si>
  <si>
    <t>63</t>
  </si>
  <si>
    <t>64</t>
  </si>
  <si>
    <t>65</t>
  </si>
  <si>
    <t>66</t>
  </si>
  <si>
    <t>67</t>
  </si>
  <si>
    <t>68</t>
  </si>
  <si>
    <t>69</t>
  </si>
  <si>
    <t>70</t>
  </si>
  <si>
    <t>71</t>
  </si>
  <si>
    <t>72</t>
  </si>
  <si>
    <t>73</t>
  </si>
  <si>
    <t xml:space="preserve">poklop ocelový 600/600 </t>
  </si>
  <si>
    <t>74</t>
  </si>
  <si>
    <t>75</t>
  </si>
  <si>
    <t>76</t>
  </si>
  <si>
    <t>rozšíření pro šachtu</t>
  </si>
  <si>
    <t>77</t>
  </si>
  <si>
    <t>78</t>
  </si>
  <si>
    <t>79</t>
  </si>
  <si>
    <t>80</t>
  </si>
  <si>
    <t>kamenivo</t>
  </si>
  <si>
    <t>státní silnice</t>
  </si>
  <si>
    <t xml:space="preserve">Zemní práce </t>
  </si>
  <si>
    <t>ČS1-1,ČS1-2</t>
  </si>
  <si>
    <t>zásyp</t>
  </si>
  <si>
    <t xml:space="preserve"> počet spojů 256,9/6=42,817</t>
  </si>
  <si>
    <t>řad A</t>
  </si>
  <si>
    <t>řad A5</t>
  </si>
  <si>
    <t>řad A6</t>
  </si>
  <si>
    <t>stoka A1</t>
  </si>
  <si>
    <t>stoka A2</t>
  </si>
  <si>
    <t>stoka A3</t>
  </si>
  <si>
    <t>stoka A4</t>
  </si>
  <si>
    <t>stoka A5</t>
  </si>
  <si>
    <t>stoka A6</t>
  </si>
  <si>
    <t>rozšíření pro šachty</t>
  </si>
  <si>
    <t>prohloubení pro šachty</t>
  </si>
  <si>
    <t>odpočet ornice</t>
  </si>
  <si>
    <t>odpočet státní silnice</t>
  </si>
  <si>
    <t>odpočet místní silnice</t>
  </si>
  <si>
    <t>odpočet rozšíření pro šachty</t>
  </si>
  <si>
    <t>výkop</t>
  </si>
  <si>
    <t>výkopek ze silnic</t>
  </si>
  <si>
    <t>obsyp</t>
  </si>
  <si>
    <t>lože</t>
  </si>
  <si>
    <t>šachty</t>
  </si>
  <si>
    <t>Rozprostření ornice tl vrstvy do 200 mm pl do 500 m2 v rovině nebo ve svahu do 1:5</t>
  </si>
  <si>
    <t>v silnici</t>
  </si>
  <si>
    <t>- lože</t>
  </si>
  <si>
    <t>státní + místní</t>
  </si>
  <si>
    <t>místní silnice</t>
  </si>
  <si>
    <t>Osazení poklopů litinových nebo ocelových včetně rámů hmotnosti nad 50 do 100 kg</t>
  </si>
  <si>
    <t>ucpávka kamenin. DN 150</t>
  </si>
  <si>
    <t xml:space="preserve">Proplach potrubí </t>
  </si>
  <si>
    <t>stoka C</t>
  </si>
  <si>
    <t>stoka C1</t>
  </si>
  <si>
    <t>stoka C1a</t>
  </si>
  <si>
    <t>stoka D</t>
  </si>
  <si>
    <t>stoka D1</t>
  </si>
  <si>
    <t xml:space="preserve">průměrná hloubka výkopu </t>
  </si>
  <si>
    <t>(1277,608*2)/1000,6</t>
  </si>
  <si>
    <t>pažení nad 2m hloubky</t>
  </si>
  <si>
    <t>konstrukční vrstvy bourané komunikace se nebudou</t>
  </si>
  <si>
    <t>zásyp výkopkem</t>
  </si>
  <si>
    <t>stoka C1 a</t>
  </si>
  <si>
    <t>na vyfréz. plochu</t>
  </si>
  <si>
    <t>reprofilace vozovky</t>
  </si>
  <si>
    <r>
      <t xml:space="preserve">Vypracování Podrobné výrobně -dílenské dokumentace, která podléhá schválení objednatele a autorského dozoru, jejíž součástí bude i vypracování technologických postupů na základě pokynů objednatele a autorského dozoru </t>
    </r>
    <r>
      <rPr>
        <u val="single"/>
        <sz val="8"/>
        <rFont val="Arial"/>
        <family val="2"/>
      </rPr>
      <t>v případech, kdy si to vyžádá situace na stavbě.</t>
    </r>
    <r>
      <rPr>
        <sz val="8"/>
        <rFont val="Arial"/>
        <family val="2"/>
      </rPr>
      <t xml:space="preserve"> Výrobně-dílenská dokumentace bude vypracována 6x v listinné  podobě (složka číslování 1-6) a 1 x na CD nosiči v digitální editovatelné formě (soubory ve formátu dwg).</t>
    </r>
  </si>
  <si>
    <t xml:space="preserve">V souladu s SOD vypracování  Dokumentace skutečného provedení a to 4x v listinné  podobě (složka číslování 1-4) a 4x na CD nebo DVD nosiči v digitální editovatelná formě (soubory ve formátu dwg). Digitální forma dokumentace skutečného provedení musí být zpracována v souladu s vnitřní normou provozovatele. Jednotlivé výkresy a textové části písemné formy budou označeny jako skutečné provedení a podepsány projektantem. Dokumentace skutečného provedení musí být schválena objednatelem </t>
  </si>
  <si>
    <t>Vyhotovení  geodetického zaměření - ve 3 vyhotoveních v listinné a 1 na CD nosiči v digitální formě předepsaného formátu včetně geometrických plánů pro věcná břemena;</t>
  </si>
  <si>
    <t>Zpětná klapka přírubová kulová DN 100, PN 10</t>
  </si>
  <si>
    <t>Šoupátko nožové DN 100 PN 10</t>
  </si>
  <si>
    <t>Šoupátko měkkotěsnící přírubové DN 100, PN 10</t>
  </si>
  <si>
    <t>Trubka kruhová svařovaná 104x2, mat. 1.4301</t>
  </si>
  <si>
    <t>Trubka nerez 104,5x2, mat. 1.4301</t>
  </si>
  <si>
    <t>Koleno svařované 104x2, mat. 1.4301</t>
  </si>
  <si>
    <t>T kus varný 104x54x2, materiál 1.4301</t>
  </si>
  <si>
    <t>Zhotovení odbočky nerez tř. 17, 104,5 x 2</t>
  </si>
  <si>
    <t>Příruba přivařovací nerez DN 100, PN 10, mat. 1.4301</t>
  </si>
  <si>
    <t>Přírubový spoj DN 100 PN 10, A2, A4</t>
  </si>
  <si>
    <t>Přírubový spoj DN 100 PN 10 prodloužený pro nožové šoupátko, A2, A4</t>
  </si>
  <si>
    <t>Plošina nerez, mat. 1.4301</t>
  </si>
  <si>
    <t>výkopek</t>
  </si>
  <si>
    <t>3,2*3,2*2,4*2*0,8</t>
  </si>
  <si>
    <t>109,722*0,3</t>
  </si>
  <si>
    <t>27,431*0,3</t>
  </si>
  <si>
    <t>256,9*0,9*(1,7-0,2)*0,8</t>
  </si>
  <si>
    <t>277,452/4</t>
  </si>
  <si>
    <t>173,408*0,3</t>
  </si>
  <si>
    <t>96,922+24,231+277,452+69,363</t>
  </si>
  <si>
    <t>4*4*0,5</t>
  </si>
  <si>
    <t>96,922+24,231+277,452+69,363-24-8</t>
  </si>
  <si>
    <t>256,9*1</t>
  </si>
  <si>
    <t>256,9*0,9*0,5</t>
  </si>
  <si>
    <t>115,605*1,8</t>
  </si>
  <si>
    <t>96,922+24,231+277,452+69,363-23,121-115,605</t>
  </si>
  <si>
    <t>167,329*8</t>
  </si>
  <si>
    <t>167,329+329,242</t>
  </si>
  <si>
    <t>utěsnění potrubí výtlaku a  kabelů v předem připravených prostupech</t>
  </si>
  <si>
    <t xml:space="preserve">rozebrání a obnova plotu z pletiva </t>
  </si>
  <si>
    <t>4*4*4,11*0,8</t>
  </si>
  <si>
    <t>91,93/4</t>
  </si>
  <si>
    <t>91,93*0,3</t>
  </si>
  <si>
    <t>145*0,9*(1,7-0,45)*0,8</t>
  </si>
  <si>
    <t>92*0,9*(1,7-0,3)*0,8</t>
  </si>
  <si>
    <t>223,236/4</t>
  </si>
  <si>
    <t>223,236*0,3</t>
  </si>
  <si>
    <t>55,809*0,3</t>
  </si>
  <si>
    <t>237*0,9*0,5</t>
  </si>
  <si>
    <t>106,650*1,8</t>
  </si>
  <si>
    <t>57,456*2+139,523*2-106,65-21,33-3,14*1,4*1,4*3,76-2*2*2*2</t>
  </si>
  <si>
    <t>181,311*1,8*0,5</t>
  </si>
  <si>
    <t>393,958*8</t>
  </si>
  <si>
    <t>Montáž vodovodních šoupátek s ručním kolečkem v šachtách DN 100</t>
  </si>
  <si>
    <t>43*3*1,59</t>
  </si>
  <si>
    <t>123,1*2*0,2</t>
  </si>
  <si>
    <t>57,8*2*0,2</t>
  </si>
  <si>
    <t>36,9*2*0,2</t>
  </si>
  <si>
    <t>(21,2*1*2,1+29,5*1*2,53+50*1*2,56+49,5*1*2,38+12,8*1*2,64+19,6*1*2,57+15,8*1*2,32+33,8*1*2,33+49,4*1*2,64+15,4*1*2,65+38,4*1*2,55+34,9*1*3,1)*0,8</t>
  </si>
  <si>
    <t>(42,8*1*3,3+23,6*1*2,8+18,8+1*2,59+15,9*1*2,44+30,9*1*2,38+39,5*1*2,53+32*1*2,65+30,2*1*2,84+30*1*2,89+34,9*1*2,66+50*1*2,72+50*1*2,77)*0,8</t>
  </si>
  <si>
    <t>(50*1*2,5+34,2*12,44)*0,8</t>
  </si>
  <si>
    <t>40*1*2,29*0,8</t>
  </si>
  <si>
    <t>(28,9*1*2,65+32,4*1*2,67)*0,8</t>
  </si>
  <si>
    <t>47,4*1*2,2*0,8</t>
  </si>
  <si>
    <t>(5,4*1*2,3+21,4*1*2,08)*0,8</t>
  </si>
  <si>
    <t>(14*1*2,53+46,1*1*2,6+47,6*1*2,55+41,2*1*2,27)*0,8</t>
  </si>
  <si>
    <t>(29,1*1*2,82+30*1*2,54+30,8*1*2,4)*0,8</t>
  </si>
  <si>
    <t>39*1,2*2,2*(1788,09*2/1267,4)*0,8</t>
  </si>
  <si>
    <t>2,2*2,2*0,3*0,8*35</t>
  </si>
  <si>
    <t>2767,793*0,3</t>
  </si>
  <si>
    <t>2767,793/4</t>
  </si>
  <si>
    <t>691,948*0,3</t>
  </si>
  <si>
    <t>123,1*2</t>
  </si>
  <si>
    <t>57,8*2</t>
  </si>
  <si>
    <t>36,9*2</t>
  </si>
  <si>
    <t>2767,793+691,948</t>
  </si>
  <si>
    <t>29*2,2*1,2*2,79*0,3</t>
  </si>
  <si>
    <t>1267,4*1*0,1*-1</t>
  </si>
  <si>
    <t>1267,4*1*2,59*0,5</t>
  </si>
  <si>
    <t>1267,4*1*0,65*-1</t>
  </si>
  <si>
    <t>(2767,793+691,948)*0,5</t>
  </si>
  <si>
    <t>2222,723-660,522</t>
  </si>
  <si>
    <t>((522+477,6)*2,59*1+29*2,2*1,2*2,79)*0,5</t>
  </si>
  <si>
    <t>1401,283*8</t>
  </si>
  <si>
    <t>1401,283*1,7</t>
  </si>
  <si>
    <t>8*462,174</t>
  </si>
  <si>
    <t>(27,3*1*2,36+31,6*1*2,31+14,9*1*2,31+11,6*1*2,37+18,9*1*2,44+18,5*1*2,5+50*1*2,57+49,7*1*2,55+21,6*1*2,52+43,9*1*2,48+24,6*1*2,43+12,2*1*2,34)*0,8</t>
  </si>
  <si>
    <t>(50*1*2,43+31,1*1*2,49+31,1*1*2,45+50*1*2,62+47*1*3,33+26,8*1*4,12+36,1*1*4,01+35*1*3,2+34,2*1*2,43)*0,8</t>
  </si>
  <si>
    <t>(24,5*1*3,54+46*1*2,61)*0,8</t>
  </si>
  <si>
    <t>(44,9*1*2,43+50*1*2,49+32*1*2,62+39,4*1*2,49+47,7*1*2,51)*0,8</t>
  </si>
  <si>
    <t>(50*1*2,59)*0,8</t>
  </si>
  <si>
    <t>29*1,2*2,2*(1341,53*2/1000,6)*0,8</t>
  </si>
  <si>
    <t>2,2*2,2*0,3*0,8*29</t>
  </si>
  <si>
    <t>383*1*0,45*0,8*-1</t>
  </si>
  <si>
    <t>618*1*0,3*0,8*-1</t>
  </si>
  <si>
    <t>29*2,2*1,2*0,35*0,8*-1</t>
  </si>
  <si>
    <t>2036,734*0,3</t>
  </si>
  <si>
    <t>2545,616*1,7*0,5</t>
  </si>
  <si>
    <t>1272,958*8</t>
  </si>
  <si>
    <t>(383+587)*1*2,554*0,5</t>
  </si>
  <si>
    <t>8*433,554</t>
  </si>
  <si>
    <t xml:space="preserve">signalizační folie </t>
  </si>
  <si>
    <t>16*1,2+(2,4*1,2)*2</t>
  </si>
  <si>
    <t>126*1,2+(2,4*1,2)*4</t>
  </si>
  <si>
    <t>70,5*1,2+(2,4*1,2)*2</t>
  </si>
  <si>
    <t>120*1,2+(2,4*1,2)*4</t>
  </si>
  <si>
    <t>50*1,2+(2,4*1,2)*1</t>
  </si>
  <si>
    <t>94*1,2+(2,4*1,2)*1</t>
  </si>
  <si>
    <t>215,3*1,2+(2,4*1,2)*6</t>
  </si>
  <si>
    <t>308,8*1,2+(2,4*1,2)*10</t>
  </si>
  <si>
    <t>2*1,2</t>
  </si>
  <si>
    <t>4*1,2+(2,4*1,2)*1</t>
  </si>
  <si>
    <t>3*1,2+(2,4*1,2)*1</t>
  </si>
  <si>
    <t>505*1,2+(2,4*1,2)*16</t>
  </si>
  <si>
    <t>8*1,2+(2,4*1,2)*1</t>
  </si>
  <si>
    <t>108*1,2+(2,4*1,2)*2</t>
  </si>
  <si>
    <t>29,1*1,2+(2,4*1,2)*1</t>
  </si>
  <si>
    <t>24,8*1,2+(2,4*1,2)*2</t>
  </si>
  <si>
    <t>47,4*1,2+(2,4*1,2)*1</t>
  </si>
  <si>
    <t>53,3*1,2+(2,4*1,2)*1</t>
  </si>
  <si>
    <t>40*1,2+(2,4*1,2)*1</t>
  </si>
  <si>
    <t>175*1,2+(2,4*1,2)*7</t>
  </si>
  <si>
    <t>Kabel sdělovací</t>
  </si>
  <si>
    <t>Rozvaděč pro střídavé řízení chodu čerpadel, s možností přerušování čerpání dle nastaveného časového režimu</t>
  </si>
  <si>
    <t>Kontinuální měření hladiny s možností změny technologických hladin v ČSOV</t>
  </si>
  <si>
    <t>Ochrana čerpadel (přepětí, průsak vody)</t>
  </si>
  <si>
    <t>Světelný maják pro hlášení poruch</t>
  </si>
  <si>
    <t>Zásuvka 230V 16A</t>
  </si>
  <si>
    <t>Rozvaděč</t>
  </si>
  <si>
    <t>Ruční ovládání čerpadel</t>
  </si>
  <si>
    <t>Přenos poruchových hlášení do ŘS ČOV a pomocí SMS na dvě telefonní čísla</t>
  </si>
  <si>
    <t>Rozvaděč elektroměrový vč. rysky a zemních prací</t>
  </si>
  <si>
    <t>Ponorné kalové čerpadlo (pracovní bod 35-65%) se spirálním oběžným kolem se zvýšenou odolností proti opotřebení pískem, Q=8-10l/s, H=25 m, průchodnost min. 100 mm, spouštěcí zařízení s vodícími tyčemi a patkovým kolenem DN 100, řetěz, jmenovitý výkon 5 kW, čidlo průsaku</t>
  </si>
  <si>
    <t>oplocení z ocel. sloupků, plast. pletiva vč. 1 ks vrátek</t>
  </si>
  <si>
    <t>Vrátek pro zvedání čerpadel vč. konstrukce a nerez lana</t>
  </si>
  <si>
    <t>2.2</t>
  </si>
  <si>
    <t xml:space="preserve"> návrhy Provozních, Havarijních, Povodňových, Požárních řádů a předpisů pro obě ČS a výtlaky V1 a V2  a jejich odsouhlasení s pracovníky provozovatele a správními orgány                                                     </t>
  </si>
  <si>
    <t>Komplexní a technologické zkoušky dle příslušných ČSN, dále dle obecných podmínek technických specifikací (např. výchozí revize, revizní knihy, zkoušky hutnění, zkoušky vodotěsnosti  apd.).</t>
  </si>
  <si>
    <t>PS 20.3 - Strojní a technologické vybavení ČSOV 3</t>
  </si>
  <si>
    <t>PS 20.2 - Strojní a technologické vybavení ČSOV 2</t>
  </si>
  <si>
    <t>PS 20.4 - Přípojka a elektrotechnické vybavení ČSOV 2</t>
  </si>
  <si>
    <t>PS 20.5 - Strojní a technologické vybavení ČSOV 3</t>
  </si>
  <si>
    <t>Pororošt do plošiny, kompozit</t>
  </si>
  <si>
    <t>Dopravní značení v průběhu výstavby (2x semafor, 10x dopravní značka)</t>
  </si>
  <si>
    <t>VRN 2  - Ostatní náklady jinde neuvedené</t>
  </si>
  <si>
    <t>2.</t>
  </si>
  <si>
    <t>2.3</t>
  </si>
  <si>
    <t>Pasportizace budov a objektů a další průzkumy před zahájením stavby a sledování vlivů stavby na okolní objekty v průběhu stavby.
Pasportizace příjezdových tras a jejich vyměření, fotodokumentace</t>
  </si>
  <si>
    <t>2.4</t>
  </si>
  <si>
    <t>2.5</t>
  </si>
  <si>
    <t>VRN3 - Předání a převzetí díla</t>
  </si>
  <si>
    <t>3.7</t>
  </si>
  <si>
    <t>Finanční náklady spojené s vystavením bankovní záruky za řádné provedení a dokončení díla a za záruční dobu</t>
  </si>
  <si>
    <t>2.6</t>
  </si>
  <si>
    <t>131201201</t>
  </si>
  <si>
    <t>Hloubení jam zapažených v hornině tř. 3 objemu do 100 m3</t>
  </si>
  <si>
    <t>4*4*5,5*0,8</t>
  </si>
  <si>
    <t>131301201</t>
  </si>
  <si>
    <t>Hloubení jam zapažených v hornině tř. 4 objemu do 100 m3</t>
  </si>
  <si>
    <t>4*4*5,5*0,2</t>
  </si>
  <si>
    <t>3,2*3,2*2,4*2*0,2</t>
  </si>
  <si>
    <t>002</t>
  </si>
  <si>
    <t>153111112</t>
  </si>
  <si>
    <t>Úprava ocelových štětovnic na skládce i zaberaněných - řezání podélné z terénu</t>
  </si>
  <si>
    <t>"odřezání po dokončení prací"4*4</t>
  </si>
  <si>
    <t>134422200</t>
  </si>
  <si>
    <t>štětovnice ZTV IIIn, EN 10248-2 zn. S240GP (1.0021) dle EN 10248-1</t>
  </si>
  <si>
    <t>Hmotnost: 62 kg/m</t>
  </si>
  <si>
    <t>128*0,155</t>
  </si>
  <si>
    <t>153112111</t>
  </si>
  <si>
    <t>Nastražení ocelových štětovnic dl do 10 m ve standardních podmínkách z terénu</t>
  </si>
  <si>
    <t>4*4*8</t>
  </si>
  <si>
    <t>153112121</t>
  </si>
  <si>
    <t>Zaberanění ocelových štětovnic na dl do 4 m ve standardních podmínkách z terénu</t>
  </si>
  <si>
    <t>VRN3</t>
  </si>
</sst>
</file>

<file path=xl/styles.xml><?xml version="1.0" encoding="utf-8"?>
<styleSheet xmlns="http://schemas.openxmlformats.org/spreadsheetml/2006/main">
  <numFmts count="4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000"/>
    <numFmt numFmtId="167" formatCode="000000000"/>
    <numFmt numFmtId="168" formatCode="#\ ###\ ##0"/>
    <numFmt numFmtId="169" formatCode="0.000;0.000;"/>
    <numFmt numFmtId="170" formatCode="0.00;0.00;"/>
    <numFmt numFmtId="171" formatCode="#\ ###\ ##0;#\ ###\ ##0;"/>
    <numFmt numFmtId="172" formatCode="#\ ###\ ##0.00"/>
    <numFmt numFmtId="173" formatCode="#,##0\ &quot;Kč&quot;"/>
    <numFmt numFmtId="174" formatCode="&quot;Yes&quot;;&quot;Yes&quot;;&quot;No&quot;"/>
    <numFmt numFmtId="175" formatCode="&quot;True&quot;;&quot;True&quot;;&quot;False&quot;"/>
    <numFmt numFmtId="176" formatCode="&quot;On&quot;;&quot;On&quot;;&quot;Off&quot;"/>
    <numFmt numFmtId="177" formatCode="[$€-2]\ #\ ##,000_);[Red]\([$€-2]\ #\ ##,000\)"/>
    <numFmt numFmtId="178" formatCode="* _-#,##0.00\ &quot;Kč&quot;;* \-#,##0.00\ &quot;Kč&quot;;* _-&quot;-&quot;??\ &quot;Kč&quot;;@"/>
    <numFmt numFmtId="179" formatCode="_-* #,##0\ &quot;Kč&quot;_-;\-* #,##0\ &quot;Kč&quot;_-;_-* &quot;-&quot;??\ &quot;Kč&quot;_-;_-@_-"/>
    <numFmt numFmtId="180" formatCode="#,##0.00;\-#,##0.00"/>
    <numFmt numFmtId="181" formatCode="#,##0.00_ ;\-#,##0.00\ "/>
    <numFmt numFmtId="182" formatCode="[$-405]d\.\ mmmm\ yyyy"/>
    <numFmt numFmtId="183" formatCode="#,##0.00\ &quot;Kč&quot;"/>
    <numFmt numFmtId="184" formatCode="####;\-####"/>
    <numFmt numFmtId="185" formatCode="#,##0;\-#,##0"/>
    <numFmt numFmtId="186" formatCode="#,##0.0000;\-#,##0.0000"/>
    <numFmt numFmtId="187" formatCode="mmm/yyyy"/>
    <numFmt numFmtId="188" formatCode="0.E+00"/>
    <numFmt numFmtId="189" formatCode="#,###"/>
    <numFmt numFmtId="190" formatCode="#,###\ [$Kč-405];\-#,###\ [$Kč-405]"/>
    <numFmt numFmtId="191" formatCode="[$¥€-2]\ #\ ##,000_);[Red]\([$€-2]\ #\ ##,000\)"/>
    <numFmt numFmtId="192" formatCode="#,##0.00&quot; Kč&quot;"/>
    <numFmt numFmtId="193" formatCode="#,##0_ ;\-#,##0\ "/>
    <numFmt numFmtId="194" formatCode="0.0"/>
    <numFmt numFmtId="195" formatCode="_ * #,##0_ ;_ * \-#,##0_ ;_ * &quot;-&quot;_ ;_ @_ "/>
    <numFmt numFmtId="196" formatCode="_ * #,##0.00_ ;_ * \-#,##0.00_ ;_ * &quot;-&quot;??_ ;_ @_ "/>
    <numFmt numFmtId="197" formatCode="_ &quot;Fr.&quot;\ * #,##0_ ;_ &quot;Fr.&quot;\ * \-#,##0_ ;_ &quot;Fr.&quot;\ * &quot;-&quot;_ ;_ @_ "/>
    <numFmt numFmtId="198" formatCode="_ &quot;Fr.&quot;\ * #,##0.00_ ;_ &quot;Fr.&quot;\ * \-#,##0.00_ ;_ &quot;Fr.&quot;\ * &quot;-&quot;??_ ;_ @_ "/>
    <numFmt numFmtId="199" formatCode="#,##0.000;\-#,##0.000"/>
    <numFmt numFmtId="200" formatCode="#,##0.00000;\-#,##0.00000"/>
    <numFmt numFmtId="201" formatCode="#,##0.0;\-#,##0.0"/>
    <numFmt numFmtId="202" formatCode="0.00000"/>
    <numFmt numFmtId="203" formatCode="#,##0.000_ ;\-#,##0.000\ "/>
  </numFmts>
  <fonts count="83">
    <font>
      <sz val="10"/>
      <name val="Arial CE"/>
      <family val="0"/>
    </font>
    <font>
      <sz val="14"/>
      <name val="Arial CE"/>
      <family val="2"/>
    </font>
    <font>
      <sz val="11"/>
      <color indexed="8"/>
      <name val="Calibri"/>
      <family val="2"/>
    </font>
    <font>
      <b/>
      <sz val="26"/>
      <name val="Arial CE"/>
      <family val="2"/>
    </font>
    <font>
      <b/>
      <sz val="20"/>
      <name val="Arial CE"/>
      <family val="2"/>
    </font>
    <font>
      <b/>
      <sz val="14"/>
      <color indexed="18"/>
      <name val="Arial CE"/>
      <family val="2"/>
    </font>
    <font>
      <sz val="11"/>
      <color indexed="18"/>
      <name val="Calibri"/>
      <family val="2"/>
    </font>
    <font>
      <b/>
      <sz val="12"/>
      <color indexed="18"/>
      <name val="Arial CE"/>
      <family val="2"/>
    </font>
    <font>
      <sz val="12"/>
      <color indexed="18"/>
      <name val="Arial CE"/>
      <family val="2"/>
    </font>
    <font>
      <sz val="14"/>
      <color indexed="18"/>
      <name val="Arial CE"/>
      <family val="2"/>
    </font>
    <font>
      <sz val="12"/>
      <name val="Arial CE"/>
      <family val="2"/>
    </font>
    <font>
      <b/>
      <sz val="14"/>
      <color indexed="56"/>
      <name val="Arial CE"/>
      <family val="2"/>
    </font>
    <font>
      <b/>
      <sz val="14"/>
      <color indexed="18"/>
      <name val="Calibri"/>
      <family val="2"/>
    </font>
    <font>
      <b/>
      <sz val="12"/>
      <color indexed="56"/>
      <name val="Arial CE"/>
      <family val="2"/>
    </font>
    <font>
      <b/>
      <sz val="14"/>
      <color indexed="28"/>
      <name val="Arial CE"/>
      <family val="2"/>
    </font>
    <font>
      <b/>
      <sz val="9"/>
      <name val="Arial CE"/>
      <family val="2"/>
    </font>
    <font>
      <sz val="9"/>
      <name val="Arial CE"/>
      <family val="2"/>
    </font>
    <font>
      <sz val="8"/>
      <name val="Arial"/>
      <family val="2"/>
    </font>
    <font>
      <sz val="12"/>
      <name val="Arial"/>
      <family val="2"/>
    </font>
    <font>
      <sz val="10"/>
      <name val="Arial"/>
      <family val="2"/>
    </font>
    <font>
      <b/>
      <sz val="12"/>
      <name val="Arial CE"/>
      <family val="2"/>
    </font>
    <font>
      <b/>
      <sz val="10"/>
      <name val="Arial CE"/>
      <family val="2"/>
    </font>
    <font>
      <u val="single"/>
      <sz val="10"/>
      <color indexed="12"/>
      <name val="Arial"/>
      <family val="2"/>
    </font>
    <font>
      <u val="single"/>
      <sz val="10"/>
      <color indexed="36"/>
      <name val="Arial"/>
      <family val="2"/>
    </font>
    <font>
      <b/>
      <u val="single"/>
      <sz val="14"/>
      <name val="Arial"/>
      <family val="2"/>
    </font>
    <font>
      <b/>
      <sz val="10"/>
      <color indexed="18"/>
      <name val="Arial"/>
      <family val="2"/>
    </font>
    <font>
      <b/>
      <sz val="8"/>
      <color indexed="18"/>
      <name val="Arial"/>
      <family val="2"/>
    </font>
    <font>
      <sz val="8"/>
      <color indexed="8"/>
      <name val="Arial"/>
      <family val="2"/>
    </font>
    <font>
      <b/>
      <sz val="9"/>
      <color indexed="56"/>
      <name val="Arial"/>
      <family val="2"/>
    </font>
    <font>
      <u val="single"/>
      <sz val="8"/>
      <name val="Arial"/>
      <family val="2"/>
    </font>
    <font>
      <b/>
      <sz val="12"/>
      <color indexed="60"/>
      <name val="Arial"/>
      <family val="2"/>
    </font>
    <font>
      <sz val="10"/>
      <name val="Helv"/>
      <family val="0"/>
    </font>
    <font>
      <sz val="10"/>
      <name val="MS Sans Serif"/>
      <family val="2"/>
    </font>
    <font>
      <b/>
      <sz val="24"/>
      <name val="Tahoma"/>
      <family val="2"/>
    </font>
    <font>
      <sz val="14"/>
      <name val="Tahoma"/>
      <family val="2"/>
    </font>
    <font>
      <b/>
      <sz val="14"/>
      <name val="Arial CE"/>
      <family val="2"/>
    </font>
    <font>
      <b/>
      <sz val="20"/>
      <name val="Arial"/>
      <family val="2"/>
    </font>
    <font>
      <b/>
      <sz val="14"/>
      <color indexed="10"/>
      <name val="Arial CE"/>
      <family val="0"/>
    </font>
    <font>
      <sz val="8"/>
      <name val="Arial CE"/>
      <family val="0"/>
    </font>
    <font>
      <b/>
      <sz val="8"/>
      <name val="Arial CE"/>
      <family val="0"/>
    </font>
    <font>
      <b/>
      <sz val="8"/>
      <color indexed="12"/>
      <name val="Arial"/>
      <family val="0"/>
    </font>
    <font>
      <b/>
      <sz val="8"/>
      <name val="Arial"/>
      <family val="0"/>
    </font>
    <font>
      <b/>
      <sz val="8"/>
      <color indexed="20"/>
      <name val="Arial"/>
      <family val="0"/>
    </font>
    <font>
      <sz val="8"/>
      <color indexed="63"/>
      <name val="Arial"/>
      <family val="0"/>
    </font>
    <font>
      <sz val="8"/>
      <color indexed="20"/>
      <name val="Arial"/>
      <family val="0"/>
    </font>
    <font>
      <sz val="8"/>
      <color indexed="12"/>
      <name val="Arial"/>
      <family val="0"/>
    </font>
    <font>
      <b/>
      <sz val="8"/>
      <color indexed="21"/>
      <name val="Arial"/>
      <family val="0"/>
    </font>
    <font>
      <b/>
      <u val="single"/>
      <sz val="8"/>
      <name val="Arial"/>
      <family val="0"/>
    </font>
    <font>
      <b/>
      <u val="single"/>
      <sz val="8"/>
      <color indexed="10"/>
      <name val="Arial"/>
      <family val="0"/>
    </font>
    <font>
      <i/>
      <sz val="7"/>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Gray">
        <fgColor indexed="22"/>
      </patternFill>
    </fill>
    <fill>
      <patternFill patternType="lightGray">
        <fgColor indexed="22"/>
        <bgColor indexed="9"/>
      </patternFill>
    </fill>
    <fill>
      <patternFill patternType="solid">
        <fgColor indexed="13"/>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50"/>
        <bgColor indexed="64"/>
      </patternFill>
    </fill>
    <fill>
      <patternFill patternType="solid">
        <fgColor indexed="26"/>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medium"/>
      <bottom style="mediu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style="thin"/>
      <top>
        <color indexed="63"/>
      </top>
      <bottom style="medium"/>
    </border>
    <border>
      <left>
        <color indexed="63"/>
      </left>
      <right style="medium"/>
      <top>
        <color indexed="63"/>
      </top>
      <bottom style="mediu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right/>
      <top style="thin">
        <color indexed="8"/>
      </top>
      <bottom/>
    </border>
    <border>
      <left>
        <color indexed="63"/>
      </left>
      <right>
        <color indexed="63"/>
      </right>
      <top style="thin"/>
      <bottom style="thin"/>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0" fillId="0" borderId="0" applyProtection="0">
      <alignment/>
    </xf>
    <xf numFmtId="0" fontId="0" fillId="0" borderId="0" applyProtection="0">
      <alignment/>
    </xf>
    <xf numFmtId="0" fontId="31" fillId="0" borderId="0">
      <alignment/>
      <protection/>
    </xf>
    <xf numFmtId="0" fontId="31"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1"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9"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8" fillId="0" borderId="1" applyNumberFormat="0" applyFill="0" applyAlignment="0" applyProtection="0"/>
    <xf numFmtId="41" fontId="19" fillId="0" borderId="0" applyFont="0" applyFill="0" applyBorder="0" applyAlignment="0" applyProtection="0"/>
    <xf numFmtId="43" fontId="19" fillId="0" borderId="0" applyFon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19" fillId="0" borderId="0" applyFont="0" applyFill="0" applyBorder="0" applyAlignment="0" applyProtection="0"/>
    <xf numFmtId="196" fontId="19" fillId="0" borderId="0" applyFont="0" applyFill="0" applyBorder="0" applyAlignment="0" applyProtection="0"/>
    <xf numFmtId="0" fontId="20" fillId="0" borderId="0">
      <alignment/>
      <protection/>
    </xf>
    <xf numFmtId="0" fontId="33" fillId="0" borderId="0">
      <alignment/>
      <protection/>
    </xf>
    <xf numFmtId="0" fontId="22" fillId="0" borderId="0" applyNumberFormat="0" applyFill="0" applyBorder="0" applyAlignment="0" applyProtection="0"/>
    <xf numFmtId="0" fontId="69" fillId="19" borderId="0" applyNumberFormat="0" applyBorder="0" applyAlignment="0" applyProtection="0"/>
    <xf numFmtId="0" fontId="7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19" fillId="0" borderId="0">
      <alignment/>
      <protection/>
    </xf>
    <xf numFmtId="0" fontId="34" fillId="0" borderId="0">
      <alignment/>
      <protection/>
    </xf>
    <xf numFmtId="0" fontId="23"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6" fillId="0" borderId="7" applyNumberFormat="0" applyFill="0" applyAlignment="0" applyProtection="0"/>
    <xf numFmtId="0" fontId="77" fillId="23" borderId="0" applyNumberFormat="0" applyBorder="0" applyAlignment="0" applyProtection="0"/>
    <xf numFmtId="0" fontId="32" fillId="0" borderId="0">
      <alignment/>
      <protection/>
    </xf>
    <xf numFmtId="0" fontId="21" fillId="24" borderId="0">
      <alignment horizontal="left"/>
      <protection/>
    </xf>
    <xf numFmtId="0" fontId="35" fillId="25" borderId="0">
      <alignment/>
      <protection/>
    </xf>
    <xf numFmtId="0" fontId="31" fillId="0" borderId="0">
      <alignment/>
      <protection/>
    </xf>
    <xf numFmtId="0" fontId="16" fillId="0" borderId="8">
      <alignment horizontal="left"/>
      <protection/>
    </xf>
    <xf numFmtId="0" fontId="78" fillId="0" borderId="0" applyNumberFormat="0" applyFill="0" applyBorder="0" applyAlignment="0" applyProtection="0"/>
    <xf numFmtId="0" fontId="21" fillId="0" borderId="0">
      <alignment/>
      <protection/>
    </xf>
    <xf numFmtId="0" fontId="36" fillId="26" borderId="9">
      <alignment vertical="center"/>
      <protection/>
    </xf>
    <xf numFmtId="0" fontId="79" fillId="27" borderId="10" applyNumberFormat="0" applyAlignment="0" applyProtection="0"/>
    <xf numFmtId="0" fontId="80" fillId="28" borderId="10" applyNumberFormat="0" applyAlignment="0" applyProtection="0"/>
    <xf numFmtId="0" fontId="81" fillId="28" borderId="11" applyNumberFormat="0" applyAlignment="0" applyProtection="0"/>
    <xf numFmtId="0" fontId="82" fillId="0" borderId="0" applyNumberForma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0" fontId="0" fillId="0" borderId="0">
      <alignment/>
      <protection/>
    </xf>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cellStyleXfs>
  <cellXfs count="160">
    <xf numFmtId="0" fontId="0" fillId="0" borderId="0" xfId="0" applyAlignment="1">
      <alignment/>
    </xf>
    <xf numFmtId="0" fontId="2" fillId="0" borderId="0" xfId="97">
      <alignment/>
      <protection/>
    </xf>
    <xf numFmtId="49" fontId="5" fillId="0" borderId="12" xfId="97" applyNumberFormat="1" applyFont="1" applyBorder="1" applyAlignment="1">
      <alignment horizontal="left" vertical="center"/>
      <protection/>
    </xf>
    <xf numFmtId="49" fontId="5" fillId="0" borderId="13" xfId="97" applyNumberFormat="1" applyFont="1" applyBorder="1" applyAlignment="1">
      <alignment horizontal="left" vertical="center"/>
      <protection/>
    </xf>
    <xf numFmtId="0" fontId="6" fillId="0" borderId="13" xfId="97" applyFont="1" applyBorder="1">
      <alignment/>
      <protection/>
    </xf>
    <xf numFmtId="0" fontId="6" fillId="0" borderId="14" xfId="97" applyFont="1" applyBorder="1">
      <alignment/>
      <protection/>
    </xf>
    <xf numFmtId="49" fontId="5" fillId="0" borderId="15" xfId="97" applyNumberFormat="1" applyFont="1" applyBorder="1" applyAlignment="1">
      <alignment horizontal="center"/>
      <protection/>
    </xf>
    <xf numFmtId="49" fontId="5" fillId="0" borderId="16" xfId="97" applyNumberFormat="1" applyFont="1" applyBorder="1" applyAlignment="1">
      <alignment horizontal="left" vertical="center"/>
      <protection/>
    </xf>
    <xf numFmtId="0" fontId="6" fillId="0" borderId="17" xfId="97" applyFont="1" applyBorder="1">
      <alignment/>
      <protection/>
    </xf>
    <xf numFmtId="179" fontId="5" fillId="0" borderId="18" xfId="86" applyNumberFormat="1" applyFont="1" applyBorder="1" applyAlignment="1">
      <alignment horizontal="right"/>
    </xf>
    <xf numFmtId="0" fontId="6" fillId="0" borderId="15" xfId="97" applyFont="1" applyBorder="1">
      <alignment/>
      <protection/>
    </xf>
    <xf numFmtId="0" fontId="6" fillId="0" borderId="19" xfId="97" applyFont="1" applyBorder="1">
      <alignment/>
      <protection/>
    </xf>
    <xf numFmtId="0" fontId="6" fillId="0" borderId="20" xfId="97" applyFont="1" applyBorder="1">
      <alignment/>
      <protection/>
    </xf>
    <xf numFmtId="0" fontId="6" fillId="0" borderId="0" xfId="97" applyFont="1">
      <alignment/>
      <protection/>
    </xf>
    <xf numFmtId="0" fontId="2" fillId="0" borderId="21" xfId="97" applyBorder="1">
      <alignment/>
      <protection/>
    </xf>
    <xf numFmtId="49" fontId="5" fillId="0" borderId="15" xfId="97" applyNumberFormat="1" applyFont="1" applyBorder="1" applyAlignment="1">
      <alignment horizontal="left" vertical="center"/>
      <protection/>
    </xf>
    <xf numFmtId="49" fontId="7" fillId="0" borderId="22" xfId="97" applyNumberFormat="1" applyFont="1" applyBorder="1" applyAlignment="1">
      <alignment horizontal="left" vertical="center"/>
      <protection/>
    </xf>
    <xf numFmtId="179" fontId="5" fillId="0" borderId="23" xfId="86" applyNumberFormat="1" applyFont="1" applyBorder="1" applyAlignment="1">
      <alignment horizontal="right"/>
    </xf>
    <xf numFmtId="179" fontId="2" fillId="0" borderId="0" xfId="97" applyNumberFormat="1">
      <alignment/>
      <protection/>
    </xf>
    <xf numFmtId="49" fontId="7" fillId="0" borderId="15" xfId="97" applyNumberFormat="1" applyFont="1" applyBorder="1" applyAlignment="1">
      <alignment horizontal="left" vertical="center"/>
      <protection/>
    </xf>
    <xf numFmtId="49" fontId="7" fillId="0" borderId="16" xfId="97" applyNumberFormat="1" applyFont="1" applyBorder="1" applyAlignment="1">
      <alignment horizontal="left" vertical="center"/>
      <protection/>
    </xf>
    <xf numFmtId="49" fontId="5" fillId="0" borderId="15" xfId="97" applyNumberFormat="1" applyFont="1" applyBorder="1" applyAlignment="1">
      <alignment horizontal="center" vertical="center"/>
      <protection/>
    </xf>
    <xf numFmtId="9" fontId="8" fillId="0" borderId="17" xfId="97" applyNumberFormat="1" applyFont="1" applyBorder="1" applyAlignment="1">
      <alignment horizontal="left" indent="1"/>
      <protection/>
    </xf>
    <xf numFmtId="0" fontId="2" fillId="0" borderId="24" xfId="97" applyBorder="1">
      <alignment/>
      <protection/>
    </xf>
    <xf numFmtId="0" fontId="7" fillId="0" borderId="25" xfId="97" applyFont="1" applyBorder="1" applyAlignment="1">
      <alignment horizontal="left"/>
      <protection/>
    </xf>
    <xf numFmtId="0" fontId="7" fillId="0" borderId="20" xfId="97" applyFont="1" applyBorder="1" applyAlignment="1">
      <alignment/>
      <protection/>
    </xf>
    <xf numFmtId="0" fontId="9" fillId="0" borderId="19" xfId="97" applyFont="1" applyBorder="1" applyAlignment="1">
      <alignment horizontal="left" indent="1"/>
      <protection/>
    </xf>
    <xf numFmtId="179" fontId="5" fillId="0" borderId="26" xfId="86" applyNumberFormat="1" applyFont="1" applyBorder="1" applyAlignment="1">
      <alignment horizontal="right"/>
    </xf>
    <xf numFmtId="0" fontId="7" fillId="0" borderId="22" xfId="97" applyFont="1" applyBorder="1" applyAlignment="1">
      <alignment horizontal="left"/>
      <protection/>
    </xf>
    <xf numFmtId="0" fontId="7" fillId="0" borderId="17" xfId="97" applyFont="1" applyBorder="1" applyAlignment="1">
      <alignment/>
      <protection/>
    </xf>
    <xf numFmtId="0" fontId="9" fillId="0" borderId="22" xfId="97" applyFont="1" applyBorder="1" applyAlignment="1">
      <alignment horizontal="left" indent="1"/>
      <protection/>
    </xf>
    <xf numFmtId="0" fontId="6" fillId="0" borderId="27" xfId="97" applyFont="1" applyBorder="1">
      <alignment/>
      <protection/>
    </xf>
    <xf numFmtId="0" fontId="6" fillId="0" borderId="28" xfId="97" applyFont="1" applyBorder="1">
      <alignment/>
      <protection/>
    </xf>
    <xf numFmtId="0" fontId="6" fillId="0" borderId="29" xfId="97" applyFont="1" applyBorder="1">
      <alignment/>
      <protection/>
    </xf>
    <xf numFmtId="0" fontId="12" fillId="0" borderId="24" xfId="97" applyFont="1" applyBorder="1">
      <alignment/>
      <protection/>
    </xf>
    <xf numFmtId="0" fontId="12" fillId="35" borderId="30" xfId="97" applyFont="1" applyFill="1" applyBorder="1">
      <alignment/>
      <protection/>
    </xf>
    <xf numFmtId="0" fontId="12" fillId="35" borderId="31" xfId="97" applyFont="1" applyFill="1" applyBorder="1">
      <alignment/>
      <protection/>
    </xf>
    <xf numFmtId="179" fontId="12" fillId="35" borderId="32" xfId="97" applyNumberFormat="1" applyFont="1" applyFill="1" applyBorder="1" applyAlignment="1">
      <alignment horizontal="right"/>
      <protection/>
    </xf>
    <xf numFmtId="0" fontId="12" fillId="0" borderId="0" xfId="97" applyFont="1">
      <alignment/>
      <protection/>
    </xf>
    <xf numFmtId="0" fontId="2" fillId="0" borderId="0" xfId="97" applyBorder="1">
      <alignment/>
      <protection/>
    </xf>
    <xf numFmtId="49" fontId="7" fillId="0" borderId="0" xfId="97" applyNumberFormat="1" applyFont="1" applyBorder="1" applyAlignment="1">
      <alignment horizontal="center"/>
      <protection/>
    </xf>
    <xf numFmtId="9" fontId="10" fillId="0" borderId="0" xfId="97" applyNumberFormat="1" applyFont="1" applyBorder="1" applyAlignment="1">
      <alignment horizontal="left" indent="1"/>
      <protection/>
    </xf>
    <xf numFmtId="179" fontId="11" fillId="0" borderId="0" xfId="86" applyNumberFormat="1" applyFont="1" applyBorder="1" applyAlignment="1">
      <alignment horizontal="right"/>
    </xf>
    <xf numFmtId="0" fontId="7" fillId="0" borderId="0" xfId="97" applyFont="1" applyBorder="1" applyAlignment="1">
      <alignment horizontal="left" indent="1"/>
      <protection/>
    </xf>
    <xf numFmtId="0" fontId="7" fillId="0" borderId="0" xfId="97" applyFont="1" applyFill="1" applyBorder="1" applyAlignment="1">
      <alignment/>
      <protection/>
    </xf>
    <xf numFmtId="9" fontId="13" fillId="0" borderId="0" xfId="97" applyNumberFormat="1" applyFont="1" applyBorder="1" applyAlignment="1">
      <alignment horizontal="center"/>
      <protection/>
    </xf>
    <xf numFmtId="179" fontId="13" fillId="0" borderId="0" xfId="86" applyNumberFormat="1" applyFont="1" applyBorder="1" applyAlignment="1">
      <alignment horizontal="right"/>
    </xf>
    <xf numFmtId="0" fontId="5" fillId="35" borderId="0" xfId="97" applyFont="1" applyFill="1" applyBorder="1" applyAlignment="1">
      <alignment horizontal="left" indent="1"/>
      <protection/>
    </xf>
    <xf numFmtId="0" fontId="1" fillId="35" borderId="0" xfId="97" applyFont="1" applyFill="1" applyBorder="1" applyAlignment="1">
      <alignment horizontal="left" indent="1"/>
      <protection/>
    </xf>
    <xf numFmtId="179" fontId="11" fillId="35" borderId="0" xfId="86" applyNumberFormat="1" applyFont="1" applyFill="1" applyBorder="1" applyAlignment="1">
      <alignment horizontal="right"/>
    </xf>
    <xf numFmtId="0" fontId="2" fillId="0" borderId="0" xfId="97" applyFill="1" applyBorder="1">
      <alignment/>
      <protection/>
    </xf>
    <xf numFmtId="0" fontId="5" fillId="0" borderId="0" xfId="97" applyFont="1" applyFill="1" applyBorder="1" applyAlignment="1">
      <alignment horizontal="left" indent="1"/>
      <protection/>
    </xf>
    <xf numFmtId="0" fontId="1" fillId="0" borderId="0" xfId="97" applyFont="1" applyFill="1" applyBorder="1" applyAlignment="1">
      <alignment horizontal="left" indent="1"/>
      <protection/>
    </xf>
    <xf numFmtId="179" fontId="11" fillId="0" borderId="0" xfId="86" applyNumberFormat="1" applyFont="1" applyFill="1" applyBorder="1" applyAlignment="1">
      <alignment horizontal="right"/>
    </xf>
    <xf numFmtId="0" fontId="2" fillId="0" borderId="0" xfId="97" applyFill="1">
      <alignment/>
      <protection/>
    </xf>
    <xf numFmtId="0" fontId="1" fillId="0" borderId="0" xfId="97" applyFont="1" applyAlignment="1">
      <alignment horizontal="center"/>
      <protection/>
    </xf>
    <xf numFmtId="0" fontId="1" fillId="0" borderId="0" xfId="97" applyFont="1" applyAlignment="1">
      <alignment horizontal="left" indent="1"/>
      <protection/>
    </xf>
    <xf numFmtId="179" fontId="14" fillId="0" borderId="0" xfId="86" applyNumberFormat="1" applyFont="1" applyAlignment="1">
      <alignment horizontal="right"/>
    </xf>
    <xf numFmtId="0" fontId="15" fillId="0" borderId="0" xfId="97" applyFont="1" applyAlignment="1">
      <alignment horizontal="center" vertical="top"/>
      <protection/>
    </xf>
    <xf numFmtId="0" fontId="16" fillId="0" borderId="0" xfId="97" applyFont="1" applyAlignment="1">
      <alignment horizontal="left" vertical="top" wrapText="1"/>
      <protection/>
    </xf>
    <xf numFmtId="0" fontId="18" fillId="0" borderId="0" xfId="0" applyFont="1" applyAlignment="1" applyProtection="1">
      <alignment/>
      <protection hidden="1"/>
    </xf>
    <xf numFmtId="0" fontId="18" fillId="0" borderId="0" xfId="0" applyFont="1" applyAlignment="1" applyProtection="1">
      <alignment horizontal="center"/>
      <protection hidden="1"/>
    </xf>
    <xf numFmtId="4" fontId="18" fillId="0" borderId="0" xfId="0" applyNumberFormat="1" applyFont="1" applyAlignment="1" applyProtection="1">
      <alignment/>
      <protection hidden="1"/>
    </xf>
    <xf numFmtId="0" fontId="19" fillId="0" borderId="0" xfId="0" applyFont="1" applyAlignment="1" applyProtection="1">
      <alignment/>
      <protection hidden="1"/>
    </xf>
    <xf numFmtId="0" fontId="19" fillId="0" borderId="0" xfId="0" applyFont="1" applyAlignment="1" applyProtection="1">
      <alignment horizontal="center"/>
      <protection hidden="1"/>
    </xf>
    <xf numFmtId="4" fontId="19" fillId="0" borderId="0" xfId="0" applyNumberFormat="1" applyFont="1" applyAlignment="1" applyProtection="1">
      <alignment/>
      <protection hidden="1"/>
    </xf>
    <xf numFmtId="0" fontId="19" fillId="0" borderId="0" xfId="99">
      <alignment/>
      <protection/>
    </xf>
    <xf numFmtId="49" fontId="25" fillId="36" borderId="17" xfId="99" applyNumberFormat="1" applyFont="1" applyFill="1" applyBorder="1" applyAlignment="1">
      <alignment horizontal="center"/>
      <protection/>
    </xf>
    <xf numFmtId="49" fontId="25" fillId="36" borderId="17" xfId="99" applyNumberFormat="1" applyFont="1" applyFill="1" applyBorder="1" applyAlignment="1">
      <alignment horizontal="left"/>
      <protection/>
    </xf>
    <xf numFmtId="41" fontId="26" fillId="36" borderId="17" xfId="99" applyNumberFormat="1" applyFont="1" applyFill="1" applyBorder="1" applyAlignment="1">
      <alignment horizontal="center"/>
      <protection/>
    </xf>
    <xf numFmtId="49" fontId="17" fillId="0" borderId="17" xfId="99" applyNumberFormat="1" applyFont="1" applyFill="1" applyBorder="1" applyAlignment="1">
      <alignment horizontal="center"/>
      <protection/>
    </xf>
    <xf numFmtId="49" fontId="17" fillId="0" borderId="17" xfId="99" applyNumberFormat="1" applyFont="1" applyFill="1" applyBorder="1" applyAlignment="1">
      <alignment horizontal="left"/>
      <protection/>
    </xf>
    <xf numFmtId="41" fontId="17" fillId="0" borderId="17" xfId="99" applyNumberFormat="1" applyFont="1" applyFill="1" applyBorder="1" applyAlignment="1">
      <alignment horizontal="right"/>
      <protection/>
    </xf>
    <xf numFmtId="0" fontId="17" fillId="0" borderId="17" xfId="99" applyFont="1" applyFill="1" applyBorder="1" applyAlignment="1">
      <alignment horizontal="justify"/>
      <protection/>
    </xf>
    <xf numFmtId="49" fontId="17" fillId="0" borderId="17" xfId="99" applyNumberFormat="1" applyFont="1" applyBorder="1" applyAlignment="1">
      <alignment horizontal="center"/>
      <protection/>
    </xf>
    <xf numFmtId="0" fontId="17" fillId="0" borderId="17" xfId="99" applyFont="1" applyFill="1" applyBorder="1" applyAlignment="1">
      <alignment wrapText="1"/>
      <protection/>
    </xf>
    <xf numFmtId="0" fontId="17" fillId="0" borderId="17" xfId="99" applyFont="1" applyBorder="1" applyAlignment="1">
      <alignment horizontal="justify"/>
      <protection/>
    </xf>
    <xf numFmtId="49" fontId="28" fillId="0" borderId="17" xfId="99" applyNumberFormat="1" applyFont="1" applyBorder="1" applyAlignment="1">
      <alignment horizontal="center"/>
      <protection/>
    </xf>
    <xf numFmtId="0" fontId="28" fillId="0" borderId="17" xfId="99" applyFont="1" applyBorder="1" applyAlignment="1">
      <alignment horizontal="left"/>
      <protection/>
    </xf>
    <xf numFmtId="41" fontId="28" fillId="0" borderId="17" xfId="99" applyNumberFormat="1" applyFont="1" applyBorder="1" applyAlignment="1">
      <alignment horizontal="right"/>
      <protection/>
    </xf>
    <xf numFmtId="49" fontId="28" fillId="0" borderId="17" xfId="99" applyNumberFormat="1" applyFont="1" applyFill="1" applyBorder="1" applyAlignment="1">
      <alignment horizontal="center"/>
      <protection/>
    </xf>
    <xf numFmtId="41" fontId="30" fillId="36" borderId="0" xfId="99" applyNumberFormat="1" applyFont="1" applyFill="1" applyBorder="1" applyAlignment="1">
      <alignment horizontal="right"/>
      <protection/>
    </xf>
    <xf numFmtId="14" fontId="17" fillId="36" borderId="0" xfId="99" applyNumberFormat="1" applyFont="1" applyFill="1" applyBorder="1">
      <alignment/>
      <protection/>
    </xf>
    <xf numFmtId="41" fontId="17" fillId="36" borderId="0" xfId="99" applyNumberFormat="1" applyFont="1" applyFill="1" applyBorder="1" applyAlignment="1">
      <alignment horizontal="right"/>
      <protection/>
    </xf>
    <xf numFmtId="49" fontId="19" fillId="0" borderId="0" xfId="99" applyNumberFormat="1" applyAlignment="1">
      <alignment horizontal="center"/>
      <protection/>
    </xf>
    <xf numFmtId="0" fontId="17" fillId="0" borderId="0" xfId="99" applyFont="1">
      <alignment/>
      <protection/>
    </xf>
    <xf numFmtId="41" fontId="17" fillId="0" borderId="0" xfId="99" applyNumberFormat="1" applyFont="1" applyAlignment="1">
      <alignment horizontal="right"/>
      <protection/>
    </xf>
    <xf numFmtId="41" fontId="17" fillId="0" borderId="0" xfId="99" applyNumberFormat="1" applyFont="1" applyAlignment="1">
      <alignment/>
      <protection/>
    </xf>
    <xf numFmtId="49" fontId="19" fillId="0" borderId="0" xfId="99" applyNumberFormat="1">
      <alignment/>
      <protection/>
    </xf>
    <xf numFmtId="0" fontId="17" fillId="0" borderId="17" xfId="0" applyFont="1" applyBorder="1" applyAlignment="1">
      <alignment horizontal="justify"/>
    </xf>
    <xf numFmtId="0" fontId="17" fillId="0" borderId="17" xfId="0" applyNumberFormat="1" applyFont="1" applyBorder="1" applyAlignment="1">
      <alignment wrapText="1"/>
    </xf>
    <xf numFmtId="0" fontId="17" fillId="0" borderId="17" xfId="0" applyFont="1" applyBorder="1" applyAlignment="1">
      <alignment horizontal="justify" wrapText="1"/>
    </xf>
    <xf numFmtId="41" fontId="17" fillId="0" borderId="17" xfId="0" applyNumberFormat="1" applyFont="1" applyFill="1" applyBorder="1" applyAlignment="1">
      <alignment horizontal="right"/>
    </xf>
    <xf numFmtId="41" fontId="27" fillId="0" borderId="17" xfId="0" applyNumberFormat="1" applyFont="1" applyFill="1" applyBorder="1" applyAlignment="1">
      <alignment horizontal="right"/>
    </xf>
    <xf numFmtId="41" fontId="28" fillId="0" borderId="17" xfId="0" applyNumberFormat="1" applyFont="1" applyBorder="1" applyAlignment="1">
      <alignment horizontal="right"/>
    </xf>
    <xf numFmtId="0" fontId="37" fillId="37" borderId="0" xfId="0" applyFont="1" applyFill="1" applyAlignment="1" applyProtection="1">
      <alignment horizontal="left"/>
      <protection/>
    </xf>
    <xf numFmtId="0" fontId="38" fillId="37" borderId="0" xfId="0" applyFont="1" applyFill="1" applyAlignment="1" applyProtection="1">
      <alignment horizontal="left"/>
      <protection/>
    </xf>
    <xf numFmtId="0" fontId="39" fillId="37" borderId="0" xfId="0" applyFont="1" applyFill="1" applyAlignment="1" applyProtection="1">
      <alignment horizontal="left" vertical="center"/>
      <protection/>
    </xf>
    <xf numFmtId="0" fontId="38" fillId="37" borderId="0" xfId="0" applyFont="1" applyFill="1" applyAlignment="1" applyProtection="1">
      <alignment horizontal="left" vertical="center"/>
      <protection/>
    </xf>
    <xf numFmtId="0" fontId="38" fillId="26" borderId="33" xfId="0" applyFont="1" applyFill="1" applyBorder="1" applyAlignment="1" applyProtection="1">
      <alignment horizontal="center" vertical="center" wrapText="1"/>
      <protection/>
    </xf>
    <xf numFmtId="0" fontId="38" fillId="26" borderId="34" xfId="0" applyFont="1" applyFill="1" applyBorder="1" applyAlignment="1" applyProtection="1">
      <alignment horizontal="center" vertical="center" wrapText="1"/>
      <protection/>
    </xf>
    <xf numFmtId="184" fontId="38" fillId="26" borderId="35" xfId="0" applyNumberFormat="1" applyFont="1" applyFill="1" applyBorder="1" applyAlignment="1" applyProtection="1">
      <alignment horizontal="center" vertical="center"/>
      <protection/>
    </xf>
    <xf numFmtId="184" fontId="38" fillId="26" borderId="36" xfId="0" applyNumberFormat="1" applyFont="1" applyFill="1" applyBorder="1" applyAlignment="1" applyProtection="1">
      <alignment horizontal="center" vertical="center"/>
      <protection/>
    </xf>
    <xf numFmtId="0" fontId="40" fillId="0" borderId="37" xfId="0" applyFont="1" applyBorder="1" applyAlignment="1" applyProtection="1">
      <alignment horizontal="left" vertical="center"/>
      <protection/>
    </xf>
    <xf numFmtId="0" fontId="40" fillId="0" borderId="37" xfId="0" applyFont="1" applyBorder="1" applyAlignment="1" applyProtection="1">
      <alignment horizontal="center" vertical="center"/>
      <protection/>
    </xf>
    <xf numFmtId="180" fontId="40" fillId="0" borderId="37" xfId="0" applyNumberFormat="1" applyFont="1" applyBorder="1" applyAlignment="1" applyProtection="1">
      <alignment horizontal="right" vertical="center"/>
      <protection/>
    </xf>
    <xf numFmtId="0" fontId="41" fillId="0" borderId="0" xfId="0" applyFont="1" applyAlignment="1" applyProtection="1">
      <alignment horizontal="left" vertical="center"/>
      <protection/>
    </xf>
    <xf numFmtId="0" fontId="42" fillId="0" borderId="0" xfId="0" applyFont="1" applyAlignment="1" applyProtection="1">
      <alignment horizontal="center" vertical="center"/>
      <protection/>
    </xf>
    <xf numFmtId="0" fontId="42" fillId="0" borderId="0" xfId="0" applyFont="1" applyAlignment="1" applyProtection="1">
      <alignment horizontal="left" vertical="center"/>
      <protection/>
    </xf>
    <xf numFmtId="180" fontId="42" fillId="0" borderId="0" xfId="0" applyNumberFormat="1" applyFont="1" applyAlignment="1" applyProtection="1">
      <alignment horizontal="right" vertical="center"/>
      <protection/>
    </xf>
    <xf numFmtId="0" fontId="17" fillId="0" borderId="0" xfId="0" applyFont="1" applyAlignment="1" applyProtection="1">
      <alignment horizontal="center" vertical="center"/>
      <protection/>
    </xf>
    <xf numFmtId="0" fontId="17"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199" fontId="17" fillId="0" borderId="0" xfId="0" applyNumberFormat="1" applyFont="1" applyAlignment="1" applyProtection="1">
      <alignment horizontal="right" vertical="center"/>
      <protection/>
    </xf>
    <xf numFmtId="180" fontId="17" fillId="0" borderId="0" xfId="0" applyNumberFormat="1" applyFont="1" applyAlignment="1" applyProtection="1">
      <alignment horizontal="right" vertical="center"/>
      <protection/>
    </xf>
    <xf numFmtId="0" fontId="43" fillId="0" borderId="0" xfId="0" applyFont="1" applyAlignment="1" applyProtection="1">
      <alignment horizontal="left" vertical="center"/>
      <protection/>
    </xf>
    <xf numFmtId="199" fontId="43" fillId="0" borderId="0" xfId="0" applyNumberFormat="1" applyFont="1" applyAlignment="1" applyProtection="1">
      <alignment horizontal="right" vertical="center"/>
      <protection/>
    </xf>
    <xf numFmtId="0" fontId="44" fillId="0" borderId="0" xfId="0" applyFont="1" applyAlignment="1" applyProtection="1">
      <alignment horizontal="left" vertical="center"/>
      <protection/>
    </xf>
    <xf numFmtId="185" fontId="44" fillId="0" borderId="0" xfId="0" applyNumberFormat="1" applyFont="1" applyAlignment="1" applyProtection="1">
      <alignment horizontal="right" vertical="top"/>
      <protection/>
    </xf>
    <xf numFmtId="199" fontId="44" fillId="0" borderId="0" xfId="0" applyNumberFormat="1" applyFont="1" applyAlignment="1" applyProtection="1">
      <alignment horizontal="right" vertical="top"/>
      <protection/>
    </xf>
    <xf numFmtId="0" fontId="45" fillId="0" borderId="0" xfId="0" applyFont="1" applyAlignment="1" applyProtection="1">
      <alignment horizontal="center" vertical="center"/>
      <protection/>
    </xf>
    <xf numFmtId="0" fontId="45" fillId="0" borderId="0" xfId="0" applyFont="1" applyAlignment="1" applyProtection="1">
      <alignment horizontal="left" vertical="center"/>
      <protection/>
    </xf>
    <xf numFmtId="0" fontId="45" fillId="0" borderId="0" xfId="0" applyFont="1" applyAlignment="1" applyProtection="1">
      <alignment horizontal="left" vertical="center" wrapText="1"/>
      <protection/>
    </xf>
    <xf numFmtId="199" fontId="45" fillId="0" borderId="0" xfId="0" applyNumberFormat="1" applyFont="1" applyAlignment="1" applyProtection="1">
      <alignment horizontal="right" vertical="center"/>
      <protection/>
    </xf>
    <xf numFmtId="180" fontId="45" fillId="0" borderId="0" xfId="0" applyNumberFormat="1" applyFont="1" applyAlignment="1" applyProtection="1">
      <alignment horizontal="right" vertical="center"/>
      <protection/>
    </xf>
    <xf numFmtId="0" fontId="46" fillId="0" borderId="0" xfId="0" applyFont="1" applyAlignment="1" applyProtection="1">
      <alignment horizontal="center" vertical="center"/>
      <protection/>
    </xf>
    <xf numFmtId="0" fontId="46" fillId="0" borderId="0" xfId="0" applyFont="1" applyAlignment="1" applyProtection="1">
      <alignment horizontal="left" vertical="center"/>
      <protection/>
    </xf>
    <xf numFmtId="180" fontId="46" fillId="0" borderId="0" xfId="0" applyNumberFormat="1" applyFont="1" applyAlignment="1" applyProtection="1">
      <alignment horizontal="right" vertical="center"/>
      <protection/>
    </xf>
    <xf numFmtId="0" fontId="47" fillId="0" borderId="0" xfId="0" applyFont="1" applyAlignment="1" applyProtection="1">
      <alignment horizontal="left" vertical="center"/>
      <protection/>
    </xf>
    <xf numFmtId="0" fontId="48" fillId="0" borderId="0" xfId="0" applyFont="1" applyAlignment="1" applyProtection="1">
      <alignment horizontal="left" vertical="center"/>
      <protection/>
    </xf>
    <xf numFmtId="180" fontId="48" fillId="0" borderId="0" xfId="0" applyNumberFormat="1" applyFont="1" applyAlignment="1" applyProtection="1">
      <alignment horizontal="right" vertical="center"/>
      <protection/>
    </xf>
    <xf numFmtId="0" fontId="0" fillId="0" borderId="0" xfId="0" applyAlignment="1" applyProtection="1">
      <alignment horizontal="left" vertical="top"/>
      <protection/>
    </xf>
    <xf numFmtId="0" fontId="43" fillId="0" borderId="0" xfId="0" applyFont="1" applyAlignment="1" applyProtection="1">
      <alignment horizontal="right" vertical="center"/>
      <protection/>
    </xf>
    <xf numFmtId="199" fontId="43" fillId="0" borderId="0" xfId="0" applyNumberFormat="1" applyFont="1" applyAlignment="1" applyProtection="1">
      <alignment horizontal="left" vertical="center"/>
      <protection/>
    </xf>
    <xf numFmtId="0" fontId="0" fillId="0" borderId="0" xfId="0" applyAlignment="1">
      <alignment horizontal="center"/>
    </xf>
    <xf numFmtId="0" fontId="18"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0" fillId="0" borderId="0" xfId="0" applyAlignment="1">
      <alignment horizontal="center" vertical="center"/>
    </xf>
    <xf numFmtId="0" fontId="21" fillId="0" borderId="0" xfId="98" applyFont="1">
      <alignment/>
      <protection/>
    </xf>
    <xf numFmtId="0" fontId="21" fillId="0" borderId="0" xfId="0" applyFont="1" applyAlignment="1" applyProtection="1">
      <alignment/>
      <protection hidden="1"/>
    </xf>
    <xf numFmtId="0" fontId="17" fillId="0" borderId="0" xfId="0" applyFont="1" applyAlignment="1" applyProtection="1">
      <alignment horizontal="left" vertical="center" wrapText="1"/>
      <protection/>
    </xf>
    <xf numFmtId="0" fontId="7" fillId="0" borderId="27" xfId="97" applyFont="1" applyBorder="1" applyAlignment="1">
      <alignment horizontal="left"/>
      <protection/>
    </xf>
    <xf numFmtId="0" fontId="7" fillId="0" borderId="28" xfId="97" applyFont="1" applyBorder="1" applyAlignment="1">
      <alignment/>
      <protection/>
    </xf>
    <xf numFmtId="0" fontId="9" fillId="0" borderId="27" xfId="97" applyFont="1" applyBorder="1" applyAlignment="1">
      <alignment horizontal="left" indent="1"/>
      <protection/>
    </xf>
    <xf numFmtId="179" fontId="5" fillId="0" borderId="29" xfId="86" applyNumberFormat="1" applyFont="1" applyBorder="1" applyAlignment="1">
      <alignment horizontal="right"/>
    </xf>
    <xf numFmtId="0" fontId="40" fillId="0" borderId="0" xfId="0" applyFont="1" applyBorder="1" applyAlignment="1" applyProtection="1">
      <alignment horizontal="left" vertical="center"/>
      <protection/>
    </xf>
    <xf numFmtId="0" fontId="17" fillId="0" borderId="0" xfId="0" applyFont="1" applyBorder="1" applyAlignment="1" applyProtection="1">
      <alignment horizontal="left" vertical="center" wrapText="1"/>
      <protection/>
    </xf>
    <xf numFmtId="2" fontId="40" fillId="0" borderId="0" xfId="0" applyNumberFormat="1" applyFont="1" applyBorder="1" applyAlignment="1" applyProtection="1">
      <alignment horizontal="right" vertical="center"/>
      <protection/>
    </xf>
    <xf numFmtId="180" fontId="48" fillId="0" borderId="0" xfId="0" applyNumberFormat="1" applyFont="1" applyAlignment="1" applyProtection="1">
      <alignment horizontal="left" vertical="center"/>
      <protection/>
    </xf>
    <xf numFmtId="0" fontId="49" fillId="0" borderId="0" xfId="0" applyFont="1" applyAlignment="1" applyProtection="1">
      <alignment horizontal="left" vertical="top" wrapText="1"/>
      <protection/>
    </xf>
    <xf numFmtId="0" fontId="3" fillId="35" borderId="12" xfId="97" applyFont="1" applyFill="1" applyBorder="1" applyAlignment="1">
      <alignment horizontal="center"/>
      <protection/>
    </xf>
    <xf numFmtId="0" fontId="3" fillId="35" borderId="13" xfId="97" applyFont="1" applyFill="1" applyBorder="1" applyAlignment="1">
      <alignment horizontal="center"/>
      <protection/>
    </xf>
    <xf numFmtId="0" fontId="3" fillId="35" borderId="14" xfId="97" applyFont="1" applyFill="1" applyBorder="1" applyAlignment="1">
      <alignment horizontal="center"/>
      <protection/>
    </xf>
    <xf numFmtId="0" fontId="4" fillId="35" borderId="21" xfId="97" applyFont="1" applyFill="1" applyBorder="1" applyAlignment="1">
      <alignment horizontal="center" vertical="center"/>
      <protection/>
    </xf>
    <xf numFmtId="0" fontId="4" fillId="35" borderId="0" xfId="97" applyFont="1" applyFill="1" applyBorder="1" applyAlignment="1">
      <alignment horizontal="center" vertical="center"/>
      <protection/>
    </xf>
    <xf numFmtId="0" fontId="4" fillId="35" borderId="24" xfId="97" applyFont="1" applyFill="1" applyBorder="1" applyAlignment="1">
      <alignment horizontal="center" vertical="center"/>
      <protection/>
    </xf>
    <xf numFmtId="0" fontId="24" fillId="26" borderId="16" xfId="99" applyFont="1" applyFill="1" applyBorder="1" applyAlignment="1">
      <alignment horizontal="center" wrapText="1"/>
      <protection/>
    </xf>
    <xf numFmtId="0" fontId="24" fillId="26" borderId="38" xfId="99" applyFont="1" applyFill="1" applyBorder="1" applyAlignment="1">
      <alignment horizontal="center" wrapText="1"/>
      <protection/>
    </xf>
    <xf numFmtId="0" fontId="24" fillId="26" borderId="22" xfId="99" applyFont="1" applyFill="1" applyBorder="1" applyAlignment="1">
      <alignment horizontal="center" wrapText="1"/>
      <protection/>
    </xf>
    <xf numFmtId="0" fontId="30" fillId="36" borderId="0" xfId="99" applyFont="1" applyFill="1" applyBorder="1" applyAlignment="1">
      <alignment horizontal="left"/>
      <protection/>
    </xf>
  </cellXfs>
  <cellStyles count="113">
    <cellStyle name="Normal" xfId="0"/>
    <cellStyle name="_02 Výkaz výměr BS" xfId="15"/>
    <cellStyle name="_02 Výkaz výměr EPS" xfId="16"/>
    <cellStyle name="_07-Výkaz výměr" xfId="17"/>
    <cellStyle name="_704-2008, Jesenice, holá cena, 14.2.2008" xfId="18"/>
    <cellStyle name="_851-2008, Rakovník, Provozní soubory, holá cena 10.12.2008" xfId="19"/>
    <cellStyle name="_C.1.10.1 Rozpočet EPS" xfId="20"/>
    <cellStyle name="_C.1.10.2 Rozpočet BS" xfId="21"/>
    <cellStyle name="_C.1.3 Rozpočet ZTI" xfId="22"/>
    <cellStyle name="_C.1.4 Rozpočet ÚT" xfId="23"/>
    <cellStyle name="_C.1.5 Rozpočet VZT" xfId="24"/>
    <cellStyle name="_C.1.6 Rozpočet CHL" xfId="25"/>
    <cellStyle name="_C.1.7 Rozpočet MaR" xfId="26"/>
    <cellStyle name="_C.1.7_vykazv_MaR" xfId="27"/>
    <cellStyle name="_C.1.8 Rozpočet SILNO" xfId="28"/>
    <cellStyle name="_C.4 Rozpočet Přípojka elektro" xfId="29"/>
    <cellStyle name="_C4_04_Vřkaz vřmýr" xfId="30"/>
    <cellStyle name="_EL-výkaz-ceny Záběhlická" xfId="31"/>
    <cellStyle name="_PS 01 Rozpočet - stl. vzduch technický" xfId="32"/>
    <cellStyle name="_PS 01 Rozpočet - stolový výtah" xfId="33"/>
    <cellStyle name="_PS 01 Rozpočet - vysavač" xfId="34"/>
    <cellStyle name="_PS 01 Rozpočet -jeřáb" xfId="35"/>
    <cellStyle name="_Rozpočet_Buštěhrad" xfId="36"/>
    <cellStyle name="_SO_PS_Louny_VV, holá cena 1.7.2008" xfId="37"/>
    <cellStyle name="_SO-01-00_SLP_SPECIFIKACE MATERIÁLU" xfId="38"/>
    <cellStyle name="_SO-02-00_SLP_SPECIFIKACE MATERIÁLU" xfId="39"/>
    <cellStyle name="_SO-0307_SLP_SPEC  MATERIÁLU" xfId="40"/>
    <cellStyle name="_Třebotov, rozpočet technologie, holá cena 4.10.2008" xfId="41"/>
    <cellStyle name="_Výkaz výměr - simulátory, stlačený vzduch" xfId="42"/>
    <cellStyle name="_Výkaz výměr - stolový výtah" xfId="43"/>
    <cellStyle name="_Výkaz výměr - vysavač" xfId="44"/>
    <cellStyle name="_Výkaz výměr -jeřáb" xfId="45"/>
    <cellStyle name="_Výkaz výměr_Chlazení" xfId="46"/>
    <cellStyle name="_Výkaz výměr_Silnoproud" xfId="47"/>
    <cellStyle name="_Výkaz výměr_Slaboproud" xfId="48"/>
    <cellStyle name="_Výkaz výměr_UT" xfId="49"/>
    <cellStyle name="_Výkaz výměr_VZT" xfId="50"/>
    <cellStyle name="_Výkaz výměr-Medicinský vzduch" xfId="51"/>
    <cellStyle name="_ZTI" xfId="52"/>
    <cellStyle name="20 % – Zvýraznění1" xfId="53"/>
    <cellStyle name="20 % – Zvýraznění2" xfId="54"/>
    <cellStyle name="20 % – Zvýraznění3" xfId="55"/>
    <cellStyle name="20 % – Zvýraznění4" xfId="56"/>
    <cellStyle name="20 % – Zvýraznění5" xfId="57"/>
    <cellStyle name="20 % – Zvýraznění6" xfId="58"/>
    <cellStyle name="40 % – Zvýraznění1" xfId="59"/>
    <cellStyle name="40 % – Zvýraznění2" xfId="60"/>
    <cellStyle name="40 % – Zvýraznění3" xfId="61"/>
    <cellStyle name="40 % – Zvýraznění4" xfId="62"/>
    <cellStyle name="40 % – Zvýraznění5" xfId="63"/>
    <cellStyle name="40 % – Zvýraznění6" xfId="64"/>
    <cellStyle name="60 % – Zvýraznění1" xfId="65"/>
    <cellStyle name="60 % – Zvýraznění2" xfId="66"/>
    <cellStyle name="60 % – Zvýraznění3" xfId="67"/>
    <cellStyle name="60 % – Zvýraznění4" xfId="68"/>
    <cellStyle name="60 % – Zvýraznění5" xfId="69"/>
    <cellStyle name="60 % – Zvýraznění6" xfId="70"/>
    <cellStyle name="Celkem" xfId="71"/>
    <cellStyle name="Comma [0]_Sheet1" xfId="72"/>
    <cellStyle name="Comma_Sheet1" xfId="73"/>
    <cellStyle name="Currency [0]_Analogové přístroje Euroset 8xx" xfId="74"/>
    <cellStyle name="Currency_Analogové přístroje Euroset 8xx" xfId="75"/>
    <cellStyle name="Comma" xfId="76"/>
    <cellStyle name="čárky 2" xfId="77"/>
    <cellStyle name="Comma [0]" xfId="78"/>
    <cellStyle name="Dezimal [0]_Tabelle1" xfId="79"/>
    <cellStyle name="Dezimal_Tabelle1" xfId="80"/>
    <cellStyle name="Firma" xfId="81"/>
    <cellStyle name="Hlavní nadpis" xfId="82"/>
    <cellStyle name="Hyperlink" xfId="83"/>
    <cellStyle name="Chybně" xfId="84"/>
    <cellStyle name="Kontrolní buňka" xfId="85"/>
    <cellStyle name="Currency" xfId="86"/>
    <cellStyle name="Currency [0]" xfId="87"/>
    <cellStyle name="Nadpis 1" xfId="88"/>
    <cellStyle name="Nadpis 2" xfId="89"/>
    <cellStyle name="Nadpis 3" xfId="90"/>
    <cellStyle name="Nadpis 4" xfId="91"/>
    <cellStyle name="Název" xfId="92"/>
    <cellStyle name="Neutrální" xfId="93"/>
    <cellStyle name="normal" xfId="94"/>
    <cellStyle name="normální 2" xfId="95"/>
    <cellStyle name="normální 3" xfId="96"/>
    <cellStyle name="normální_KRYCÖ LIST_VVz" xfId="97"/>
    <cellStyle name="normální_POL.XLS" xfId="98"/>
    <cellStyle name="normální_VRN_VVz" xfId="99"/>
    <cellStyle name="Podnadpis" xfId="100"/>
    <cellStyle name="Followed Hyperlink" xfId="101"/>
    <cellStyle name="Poznámka" xfId="102"/>
    <cellStyle name="Percent" xfId="103"/>
    <cellStyle name="Propojená buňka" xfId="104"/>
    <cellStyle name="Správně" xfId="105"/>
    <cellStyle name="Standard_aktuell" xfId="106"/>
    <cellStyle name="Stín+tučně" xfId="107"/>
    <cellStyle name="Stín+tučně+velké písmo" xfId="108"/>
    <cellStyle name="Styl 1" xfId="109"/>
    <cellStyle name="Styl 2" xfId="110"/>
    <cellStyle name="Text upozornění" xfId="111"/>
    <cellStyle name="Tučně" xfId="112"/>
    <cellStyle name="TYP ŘÁDKU_2" xfId="113"/>
    <cellStyle name="Vstup" xfId="114"/>
    <cellStyle name="Výpočet" xfId="115"/>
    <cellStyle name="Výstup" xfId="116"/>
    <cellStyle name="Vysvětlující text" xfId="117"/>
    <cellStyle name="Währung [0]_Tabelle1" xfId="118"/>
    <cellStyle name="Währung_Tabelle1" xfId="119"/>
    <cellStyle name="základní" xfId="120"/>
    <cellStyle name="Zvýraznění 1" xfId="121"/>
    <cellStyle name="Zvýraznění 2" xfId="122"/>
    <cellStyle name="Zvýraznění 3" xfId="123"/>
    <cellStyle name="Zvýraznění 4" xfId="124"/>
    <cellStyle name="Zvýraznění 5" xfId="125"/>
    <cellStyle name="Zvýraznění 6"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333375</xdr:colOff>
      <xdr:row>0</xdr:row>
      <xdr:rowOff>0</xdr:rowOff>
    </xdr:to>
    <xdr:pic>
      <xdr:nvPicPr>
        <xdr:cNvPr id="1" name="Picture 1" descr="pro-aqua_logo"/>
        <xdr:cNvPicPr preferRelativeResize="1">
          <a:picLocks noChangeAspect="1"/>
        </xdr:cNvPicPr>
      </xdr:nvPicPr>
      <xdr:blipFill>
        <a:blip r:embed="rId1"/>
        <a:stretch>
          <a:fillRect/>
        </a:stretch>
      </xdr:blipFill>
      <xdr:spPr>
        <a:xfrm>
          <a:off x="428625" y="0"/>
          <a:ext cx="3333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rel\HAKOV\Hakov,%20nab&#237;dky\Nab&#237;dky%202012-5\1659-2012,%20Rokytnicko%20pro%20P&#345;emysl%20Vesel&#253;\Rozpo&#269;ty\podklady\&#268;OV%20&#268;&#225;slavice%20PS02%20Elektrorozvody%20&#268;OV_VV.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Kole&#353;ovice,%20&#268;S%202,%20odevzd&#225;no,%2014.1.20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Kole&#353;ovice,%20&#268;S%203,%20odevzd&#225;no,%2014.1.201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KROSplusData\Export\26_(003)_SO%2030.1%20-%20&#268;SOV%203,%20v&#253;tlak%20V2_VVP.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KROSplusData\Export\26_(002)_SO%2030%20-%20&#268;SOV2,%20v&#253;tlak%20V1_VV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KROSplusData\Export\26_(004)_SO%2040%20-%20stoka%20A_VV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KROSplusData\Export\26_(005)_SO%2060%20-%20stoka%20C,D_VV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eznak\Plocha\RE&#381;N&#193;K\HAKOV\NAB&#205;DKY%20&#381;IV&#201;\R\Radim&#283;&#345;\1581-2012,%20Radim&#283;&#345;,%20&#268;S%201%20a%202,%20hol&#225;%20cena,%2016.3.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K03_01\NABIDKY_D5\AB_OK_SYSTEM_1698_VSBD26\OK_16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remn&#237;%20archiv%20a.s\Zak&#225;zky%20rok%202001\22%20Zelen&#253;%20ostrov%20SP\Kniha%20spec.+%20v&#253;kaz%20v&#253;m&#283;r%20TENDR%203.%20stavba\SO%2011.1%20A%20Architektonicko-stavebn&#237;%20autorizovan&#253;%20Helik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Karel\HAKOV\Hakov,%20nab&#237;dky\Nab&#237;dky%202011-6\1492-2011,%20Lomnice,%20VDJ%20pro%20Mertastav\Rozpo&#269;ty\1492-2011,%20Lomnice%20VDJ,%20hol&#225;%20cena,%2021.11.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DOWS\TEMP\Specifikace-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DOWS\TEMP\&#269;.%2041%20Zelen&#253;%20ostrov%20roz.%20rozpo&#269;tu%20na%20DC%20(bez%20list.%20v&#253;stupu)\Rozpo&#269;et%20stavby%20dle%20DC\sa_SO51_4_vv_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AKVIZICE\GAJDA\NABIDKY\CEDOK_VN\NAB_CED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AKOV-SERVER\Firemn&#237;%20dokumenty\S52\Typy_a_vzory\Tlachova\RATISKOVICE_ROZPOCET_NABID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0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C5" t="str">
            <v>Strojní a technolog.vybavení ČSOV 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PS - 20.3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rycí list"/>
      <sheetName val="Rekapitulace"/>
      <sheetName val="Rozpocet"/>
      <sheetName val="#Figury"/>
    </sheetNames>
    <sheetDataSet>
      <sheetData sheetId="0">
        <row r="5">
          <cell r="E5" t="str">
            <v>Kolešovice kanalizace</v>
          </cell>
          <cell r="P5" t="str">
            <v> </v>
          </cell>
        </row>
        <row r="7">
          <cell r="E7" t="str">
            <v>ČSOV 3, výtlak V2</v>
          </cell>
        </row>
        <row r="9">
          <cell r="E9" t="str">
            <v> </v>
          </cell>
        </row>
        <row r="26">
          <cell r="E26" t="str">
            <v> </v>
          </cell>
        </row>
        <row r="28">
          <cell r="E28" t="str">
            <v> </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rycí list"/>
      <sheetName val="Rekapitulace"/>
      <sheetName val="Rozpocet"/>
      <sheetName val="#Figury"/>
    </sheetNames>
    <sheetDataSet>
      <sheetData sheetId="0">
        <row r="5">
          <cell r="E5" t="str">
            <v>Kolešovice kanalizace</v>
          </cell>
          <cell r="P5" t="str">
            <v> </v>
          </cell>
        </row>
        <row r="7">
          <cell r="E7" t="str">
            <v>ČSOV2, výtlak V1</v>
          </cell>
        </row>
        <row r="9">
          <cell r="E9" t="str">
            <v> </v>
          </cell>
        </row>
        <row r="26">
          <cell r="E26" t="str">
            <v> </v>
          </cell>
        </row>
        <row r="28">
          <cell r="E28" t="str">
            <v> </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rycí list"/>
      <sheetName val="Rekapitulace"/>
      <sheetName val="Rozpocet"/>
      <sheetName val="#Figury"/>
    </sheetNames>
    <sheetDataSet>
      <sheetData sheetId="0">
        <row r="5">
          <cell r="E5" t="str">
            <v>Kolešovice kanalizace</v>
          </cell>
          <cell r="P5" t="str">
            <v> </v>
          </cell>
        </row>
        <row r="7">
          <cell r="E7" t="str">
            <v>stoka A</v>
          </cell>
        </row>
        <row r="9">
          <cell r="E9" t="str">
            <v> </v>
          </cell>
        </row>
        <row r="26">
          <cell r="E26" t="str">
            <v> </v>
          </cell>
        </row>
        <row r="28">
          <cell r="E28" t="str">
            <v> </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rycí list"/>
      <sheetName val="Rekapitulace"/>
      <sheetName val="Rozpocet"/>
      <sheetName val="#Figury"/>
    </sheetNames>
    <sheetDataSet>
      <sheetData sheetId="0">
        <row r="5">
          <cell r="E5" t="str">
            <v>Kolešovice kanalizace</v>
          </cell>
          <cell r="P5" t="str">
            <v> </v>
          </cell>
        </row>
        <row r="7">
          <cell r="E7" t="str">
            <v>stoka C,D</v>
          </cell>
        </row>
        <row r="9">
          <cell r="E9" t="str">
            <v> </v>
          </cell>
        </row>
        <row r="26">
          <cell r="E26" t="str">
            <v> </v>
          </cell>
        </row>
        <row r="28">
          <cell r="E28"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sheetName val="ČS 1"/>
      <sheetName val="ČS 2"/>
      <sheetName val="ČS 1, Elektro"/>
      <sheetName val="ČS 2, Elektro"/>
      <sheetName val="Souhr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lk."/>
      <sheetName val="tabCCTV"/>
      <sheetName val="tabDT"/>
      <sheetName val="tabEPS"/>
      <sheetName val="tabEZS"/>
      <sheetName val="tabZAV"/>
      <sheetName val="CCTV"/>
      <sheetName val="DT"/>
      <sheetName val="EPS"/>
      <sheetName val="EZS"/>
      <sheetName val="ZáV"/>
      <sheetName val="Prémie O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 VDJ Lomnice"/>
      <sheetName val="PS 01 VDJ LOMNICE"/>
      <sheetName val="04 AN Řepka"/>
      <sheetName val="PS 01 AN REPKA"/>
      <sheetName val="04 Úpravy vrtu VV7 Brusná"/>
      <sheetName val="PS 01 VRT BR"/>
      <sheetName val="05 PK Brusná"/>
      <sheetName val="PS 02 PK BR"/>
      <sheetName val="07 AŠ"/>
      <sheetName val="CS SUDLAJKA"/>
      <sheetName val="SO 08 PR NN"/>
      <sheetName val="SO 09 SIGN KABEL"/>
      <sheetName val="Souhr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pecifikace"/>
      <sheetName val="Rozpočet"/>
      <sheetName val="Výkaz výměr"/>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O 51.4 Výkaz výmě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CS"/>
    </sheetNames>
    <sheetDataSet>
      <sheetData sheetId="0">
        <row r="16">
          <cell r="J16">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bsah"/>
      <sheetName val="Celkem"/>
      <sheetName val="Ostatni naklady"/>
      <sheetName val="C50_S"/>
      <sheetName val="SO 0100"/>
      <sheetName val="SO 0200"/>
      <sheetName val="SO 0300"/>
      <sheetName val="SO 0400"/>
      <sheetName val="SO 0510"/>
      <sheetName val="SO 0520"/>
      <sheetName val="SO 0600"/>
      <sheetName val="SO 0700"/>
      <sheetName val="SO 0800"/>
      <sheetName val="SO 0900"/>
      <sheetName val="SO 1000"/>
      <sheetName val="SO1100 VO"/>
      <sheetName val="SO 1200"/>
      <sheetName val="Souhrn PS_T"/>
      <sheetName val="PS - 02"/>
      <sheetName val="PS - 03"/>
      <sheetName val="PS - 04"/>
      <sheetName val="PS - 05_1"/>
      <sheetName val="PS - 05_2"/>
      <sheetName val="PS - 06"/>
      <sheetName val="PS - 07"/>
      <sheetName val="PS - 08"/>
      <sheetName val="C50_E"/>
      <sheetName val="PS09 PRS"/>
      <sheetName val="PS10 MaR"/>
      <sheetName val="PS11 ASŘTP"/>
      <sheetName val="PS12 TRAFOSTANICE"/>
    </sheetNames>
    <sheetDataSet>
      <sheetData sheetId="2">
        <row r="5">
          <cell r="K5">
            <v>30</v>
          </cell>
          <cell r="M5">
            <v>0.924197092468209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F52"/>
  <sheetViews>
    <sheetView tabSelected="1" view="pageBreakPreview" zoomScaleSheetLayoutView="100" zoomScalePageLayoutView="0" workbookViewId="0" topLeftCell="A1">
      <selection activeCell="B28" sqref="B28"/>
    </sheetView>
  </sheetViews>
  <sheetFormatPr defaultColWidth="25.375" defaultRowHeight="12.75"/>
  <cols>
    <col min="1" max="1" width="4.125" style="1" customWidth="1"/>
    <col min="2" max="2" width="15.00390625" style="1" customWidth="1"/>
    <col min="3" max="3" width="83.00390625" style="1" customWidth="1"/>
    <col min="4" max="4" width="9.875" style="1" customWidth="1"/>
    <col min="5" max="5" width="26.00390625" style="1" customWidth="1"/>
    <col min="6" max="6" width="9.875" style="1" customWidth="1"/>
    <col min="7" max="16384" width="25.375" style="1" customWidth="1"/>
  </cols>
  <sheetData>
    <row r="1" ht="15.75" thickBot="1"/>
    <row r="2" spans="2:5" ht="33.75">
      <c r="B2" s="150" t="s">
        <v>3</v>
      </c>
      <c r="C2" s="151"/>
      <c r="D2" s="151"/>
      <c r="E2" s="152"/>
    </row>
    <row r="3" spans="2:5" ht="27" thickBot="1">
      <c r="B3" s="153" t="s">
        <v>53</v>
      </c>
      <c r="C3" s="154"/>
      <c r="D3" s="154"/>
      <c r="E3" s="155"/>
    </row>
    <row r="4" spans="2:5" ht="13.5" customHeight="1">
      <c r="B4" s="2" t="s">
        <v>0</v>
      </c>
      <c r="C4" s="3"/>
      <c r="D4" s="4"/>
      <c r="E4" s="5"/>
    </row>
    <row r="5" spans="2:5" ht="18">
      <c r="B5" s="6" t="s">
        <v>4</v>
      </c>
      <c r="C5" s="7" t="s">
        <v>5</v>
      </c>
      <c r="D5" s="8"/>
      <c r="E5" s="9">
        <f>E7+E8+E9+E10</f>
        <v>0</v>
      </c>
    </row>
    <row r="6" spans="2:6" ht="15">
      <c r="B6" s="10"/>
      <c r="C6" s="11"/>
      <c r="D6" s="12"/>
      <c r="E6" s="13"/>
      <c r="F6" s="14"/>
    </row>
    <row r="7" spans="2:6" ht="18">
      <c r="B7" s="15" t="s">
        <v>54</v>
      </c>
      <c r="C7" s="16" t="s">
        <v>58</v>
      </c>
      <c r="D7" s="8"/>
      <c r="E7" s="17">
        <f>'30 ČSOV2 výtlak V1'!I162</f>
        <v>0</v>
      </c>
      <c r="F7" s="18"/>
    </row>
    <row r="8" spans="2:5" ht="18">
      <c r="B8" s="19" t="s">
        <v>56</v>
      </c>
      <c r="C8" s="20" t="s">
        <v>59</v>
      </c>
      <c r="D8" s="8"/>
      <c r="E8" s="9">
        <f>'30.1 ČSOV3, V2'!I217</f>
        <v>0</v>
      </c>
    </row>
    <row r="9" spans="2:5" ht="18">
      <c r="B9" s="19" t="s">
        <v>55</v>
      </c>
      <c r="C9" s="20" t="s">
        <v>57</v>
      </c>
      <c r="D9" s="8"/>
      <c r="E9" s="9">
        <f>'40 stoka A'!I272</f>
        <v>0</v>
      </c>
    </row>
    <row r="10" spans="2:5" ht="18">
      <c r="B10" s="19" t="s">
        <v>60</v>
      </c>
      <c r="C10" s="20" t="s">
        <v>61</v>
      </c>
      <c r="D10" s="8"/>
      <c r="E10" s="9">
        <f>'60 stoka C,D'!I281</f>
        <v>0</v>
      </c>
    </row>
    <row r="11" spans="2:5" ht="18">
      <c r="B11" s="19"/>
      <c r="C11" s="20"/>
      <c r="D11" s="8"/>
      <c r="E11" s="9"/>
    </row>
    <row r="12" spans="2:5" ht="18">
      <c r="B12" s="19"/>
      <c r="C12" s="20"/>
      <c r="D12" s="8"/>
      <c r="E12" s="9"/>
    </row>
    <row r="13" spans="2:5" ht="18">
      <c r="B13" s="21" t="s">
        <v>6</v>
      </c>
      <c r="C13" s="7" t="s">
        <v>7</v>
      </c>
      <c r="D13" s="8"/>
      <c r="E13" s="9">
        <f>E14+E15+E16+E17</f>
        <v>0</v>
      </c>
    </row>
    <row r="14" spans="2:5" ht="18">
      <c r="B14" s="19" t="s">
        <v>62</v>
      </c>
      <c r="C14" s="20" t="s">
        <v>63</v>
      </c>
      <c r="D14" s="8"/>
      <c r="E14" s="9">
        <f>'PS 20.2'!I14</f>
        <v>0</v>
      </c>
    </row>
    <row r="15" spans="2:5" ht="18">
      <c r="B15" s="19" t="s">
        <v>64</v>
      </c>
      <c r="C15" s="20" t="s">
        <v>65</v>
      </c>
      <c r="D15" s="8"/>
      <c r="E15" s="9">
        <f>'PS 20.3'!I14</f>
        <v>0</v>
      </c>
    </row>
    <row r="16" spans="2:5" ht="18">
      <c r="B16" s="19" t="s">
        <v>66</v>
      </c>
      <c r="C16" s="20" t="s">
        <v>68</v>
      </c>
      <c r="D16" s="8"/>
      <c r="E16" s="9">
        <f>'PS 20.4 elektropřípojka'!I40</f>
        <v>0</v>
      </c>
    </row>
    <row r="17" spans="2:5" ht="18">
      <c r="B17" s="19" t="s">
        <v>67</v>
      </c>
      <c r="C17" s="20" t="s">
        <v>69</v>
      </c>
      <c r="D17" s="8"/>
      <c r="E17" s="9">
        <f>'PS 20.5 elektropřípojka'!I30</f>
        <v>0</v>
      </c>
    </row>
    <row r="18" spans="2:5" ht="18">
      <c r="B18" s="19"/>
      <c r="C18" s="20"/>
      <c r="D18" s="8"/>
      <c r="E18" s="9"/>
    </row>
    <row r="19" spans="2:5" ht="18">
      <c r="B19" s="21"/>
      <c r="C19" s="7"/>
      <c r="D19" s="8"/>
      <c r="E19" s="9"/>
    </row>
    <row r="20" spans="2:5" ht="18">
      <c r="B20" s="19"/>
      <c r="C20" s="20"/>
      <c r="D20" s="8"/>
      <c r="E20" s="9"/>
    </row>
    <row r="21" spans="2:5" ht="18">
      <c r="B21" s="19"/>
      <c r="C21" s="20"/>
      <c r="D21" s="8"/>
      <c r="E21" s="9"/>
    </row>
    <row r="22" spans="2:5" ht="18">
      <c r="B22" s="19"/>
      <c r="C22" s="20"/>
      <c r="D22" s="8"/>
      <c r="E22" s="9"/>
    </row>
    <row r="23" spans="2:5" ht="18">
      <c r="B23" s="19"/>
      <c r="C23" s="20"/>
      <c r="D23" s="8"/>
      <c r="E23" s="9"/>
    </row>
    <row r="24" spans="2:5" ht="18">
      <c r="B24" s="6" t="s">
        <v>8</v>
      </c>
      <c r="C24" s="8"/>
      <c r="D24" s="22"/>
      <c r="E24" s="9">
        <f>SUM(E25:E27)</f>
        <v>0</v>
      </c>
    </row>
    <row r="25" spans="1:5" ht="18">
      <c r="A25" s="23"/>
      <c r="B25" s="24" t="s">
        <v>9</v>
      </c>
      <c r="C25" s="25" t="s">
        <v>10</v>
      </c>
      <c r="D25" s="26"/>
      <c r="E25" s="27">
        <f>VRN!C7</f>
        <v>0</v>
      </c>
    </row>
    <row r="26" spans="1:5" ht="18">
      <c r="A26" s="23"/>
      <c r="B26" s="28" t="s">
        <v>11</v>
      </c>
      <c r="C26" s="29" t="s">
        <v>12</v>
      </c>
      <c r="D26" s="30"/>
      <c r="E26" s="9">
        <f>VRN!C14</f>
        <v>0</v>
      </c>
    </row>
    <row r="27" spans="1:5" ht="18">
      <c r="A27" s="23"/>
      <c r="B27" s="28" t="s">
        <v>792</v>
      </c>
      <c r="C27" s="29" t="s">
        <v>13</v>
      </c>
      <c r="D27" s="30"/>
      <c r="E27" s="9">
        <f>VRN!C21</f>
        <v>0</v>
      </c>
    </row>
    <row r="28" spans="1:5" ht="18">
      <c r="A28" s="23"/>
      <c r="B28" s="141"/>
      <c r="C28" s="142"/>
      <c r="D28" s="143"/>
      <c r="E28" s="144"/>
    </row>
    <row r="29" spans="1:5" ht="18">
      <c r="A29" s="23"/>
      <c r="B29" s="141"/>
      <c r="C29" s="142"/>
      <c r="D29" s="143"/>
      <c r="E29" s="144"/>
    </row>
    <row r="30" spans="1:5" ht="15">
      <c r="A30" s="23"/>
      <c r="B30" s="31"/>
      <c r="C30" s="32"/>
      <c r="D30" s="31"/>
      <c r="E30" s="33"/>
    </row>
    <row r="31" spans="1:5" s="38" customFormat="1" ht="19.5" thickBot="1">
      <c r="A31" s="34"/>
      <c r="B31" s="35"/>
      <c r="C31" s="36"/>
      <c r="D31" s="36"/>
      <c r="E31" s="37"/>
    </row>
    <row r="33" s="39" customFormat="1" ht="15"/>
    <row r="34" s="39" customFormat="1" ht="15"/>
    <row r="35" spans="2:5" s="39" customFormat="1" ht="18">
      <c r="B35" s="40"/>
      <c r="D35" s="41"/>
      <c r="E35" s="42"/>
    </row>
    <row r="36" s="39" customFormat="1" ht="15"/>
    <row r="37" spans="2:5" s="39" customFormat="1" ht="15.75">
      <c r="B37" s="43"/>
      <c r="C37" s="44"/>
      <c r="D37" s="45"/>
      <c r="E37" s="46"/>
    </row>
    <row r="38" spans="2:5" s="39" customFormat="1" ht="18">
      <c r="B38" s="47"/>
      <c r="C38" s="48"/>
      <c r="D38" s="48"/>
      <c r="E38" s="49"/>
    </row>
    <row r="39" spans="2:5" s="50" customFormat="1" ht="18">
      <c r="B39" s="51"/>
      <c r="C39" s="52"/>
      <c r="D39" s="52"/>
      <c r="E39" s="53"/>
    </row>
    <row r="40" spans="2:5" s="54" customFormat="1" ht="18">
      <c r="B40" s="51"/>
      <c r="C40" s="52"/>
      <c r="D40" s="52"/>
      <c r="E40" s="53"/>
    </row>
    <row r="41" spans="2:5" s="54" customFormat="1" ht="18">
      <c r="B41" s="51"/>
      <c r="C41" s="52"/>
      <c r="D41" s="52"/>
      <c r="E41" s="53"/>
    </row>
    <row r="42" spans="2:5" s="54" customFormat="1" ht="18">
      <c r="B42" s="51"/>
      <c r="C42" s="52"/>
      <c r="D42" s="52"/>
      <c r="E42" s="53"/>
    </row>
    <row r="43" spans="2:5" s="54" customFormat="1" ht="18">
      <c r="B43" s="51"/>
      <c r="C43" s="52"/>
      <c r="D43" s="52"/>
      <c r="E43" s="53"/>
    </row>
    <row r="44" spans="2:5" s="54" customFormat="1" ht="18">
      <c r="B44" s="51"/>
      <c r="C44" s="52"/>
      <c r="D44" s="52"/>
      <c r="E44" s="53"/>
    </row>
    <row r="45" spans="2:5" ht="18">
      <c r="B45" s="55"/>
      <c r="C45" s="56"/>
      <c r="D45" s="56"/>
      <c r="E45" s="57"/>
    </row>
    <row r="46" spans="2:5" ht="18">
      <c r="B46" s="55"/>
      <c r="C46" s="56"/>
      <c r="D46" s="56"/>
      <c r="E46" s="57"/>
    </row>
    <row r="47" spans="2:5" ht="18">
      <c r="B47" s="55"/>
      <c r="C47" s="56"/>
      <c r="D47" s="56"/>
      <c r="E47" s="57"/>
    </row>
    <row r="48" spans="2:5" ht="18">
      <c r="B48" s="55"/>
      <c r="C48" s="56"/>
      <c r="D48" s="56"/>
      <c r="E48" s="57"/>
    </row>
    <row r="49" spans="2:5" ht="18">
      <c r="B49" s="55"/>
      <c r="C49" s="56"/>
      <c r="D49" s="56"/>
      <c r="E49" s="57"/>
    </row>
    <row r="50" spans="2:5" ht="18">
      <c r="B50" s="55"/>
      <c r="C50" s="56"/>
      <c r="D50" s="56"/>
      <c r="E50" s="57"/>
    </row>
    <row r="51" spans="2:5" ht="18">
      <c r="B51" s="55"/>
      <c r="C51" s="56"/>
      <c r="D51" s="56"/>
      <c r="E51" s="57"/>
    </row>
    <row r="52" spans="2:5" ht="15">
      <c r="B52" s="58"/>
      <c r="C52" s="59"/>
      <c r="D52" s="59"/>
      <c r="E52" s="59"/>
    </row>
  </sheetData>
  <sheetProtection/>
  <protectedRanges>
    <protectedRange sqref="E4:E33" name="Oblast1"/>
  </protectedRanges>
  <mergeCells count="2">
    <mergeCell ref="B2:E2"/>
    <mergeCell ref="B3:E3"/>
  </mergeCells>
  <printOptions horizontalCentered="1"/>
  <pageMargins left="0.7086614173228347" right="0.7086614173228347" top="0.7874015748031497" bottom="0.7874015748031497" header="0.31496062992125984" footer="0.31496062992125984"/>
  <pageSetup fitToHeight="1" fitToWidth="1"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sheetPr>
    <tabColor rgb="FFFFFF00"/>
  </sheetPr>
  <dimension ref="A1:I281"/>
  <sheetViews>
    <sheetView zoomScalePageLayoutView="0" workbookViewId="0" topLeftCell="A66">
      <selection activeCell="C9" sqref="C9:D9"/>
    </sheetView>
  </sheetViews>
  <sheetFormatPr defaultColWidth="9.00390625" defaultRowHeight="12.75"/>
  <cols>
    <col min="1" max="1" width="5.625" style="131" customWidth="1"/>
    <col min="2" max="2" width="4.375" style="131" customWidth="1"/>
    <col min="3" max="3" width="4.75390625" style="131" customWidth="1"/>
    <col min="4" max="4" width="12.75390625" style="131" customWidth="1"/>
    <col min="5" max="5" width="75.875" style="131" customWidth="1"/>
    <col min="6" max="6" width="4.75390625" style="131" customWidth="1"/>
    <col min="7" max="7" width="9.875" style="131" customWidth="1"/>
    <col min="8" max="8" width="9.75390625" style="131" customWidth="1"/>
    <col min="9" max="9" width="13.625" style="131" customWidth="1"/>
  </cols>
  <sheetData>
    <row r="1" spans="1:9" ht="18">
      <c r="A1" s="95" t="s">
        <v>478</v>
      </c>
      <c r="B1" s="96"/>
      <c r="C1" s="96"/>
      <c r="D1" s="96"/>
      <c r="E1" s="96"/>
      <c r="F1" s="96"/>
      <c r="G1" s="96"/>
      <c r="H1" s="96"/>
      <c r="I1" s="96"/>
    </row>
    <row r="2" spans="1:9" ht="12.75">
      <c r="A2" s="97" t="s">
        <v>479</v>
      </c>
      <c r="B2" s="98"/>
      <c r="C2" s="98" t="str">
        <f>'[15]Krycí list'!E5</f>
        <v>Kolešovice kanalizace</v>
      </c>
      <c r="D2" s="98"/>
      <c r="E2" s="98"/>
      <c r="F2" s="98"/>
      <c r="G2" s="98"/>
      <c r="H2" s="98"/>
      <c r="I2" s="98"/>
    </row>
    <row r="3" spans="1:9" ht="12.75">
      <c r="A3" s="97" t="s">
        <v>480</v>
      </c>
      <c r="B3" s="98"/>
      <c r="C3" s="98" t="str">
        <f>'[15]Krycí list'!E7</f>
        <v>stoka C,D</v>
      </c>
      <c r="D3" s="98"/>
      <c r="E3" s="98"/>
      <c r="F3" s="98"/>
      <c r="G3" s="98"/>
      <c r="H3" s="98"/>
      <c r="I3" s="98"/>
    </row>
    <row r="4" spans="1:9" ht="12.75">
      <c r="A4" s="97" t="s">
        <v>481</v>
      </c>
      <c r="B4" s="98"/>
      <c r="C4" s="98" t="str">
        <f>'[15]Krycí list'!E9</f>
        <v> </v>
      </c>
      <c r="D4" s="98"/>
      <c r="E4" s="98"/>
      <c r="F4" s="98"/>
      <c r="G4" s="98"/>
      <c r="H4" s="98"/>
      <c r="I4" s="98"/>
    </row>
    <row r="5" spans="1:9" ht="12.75">
      <c r="A5" s="98" t="s">
        <v>482</v>
      </c>
      <c r="B5" s="98"/>
      <c r="C5" s="98" t="str">
        <f>'[15]Krycí list'!P5</f>
        <v> </v>
      </c>
      <c r="D5" s="98"/>
      <c r="E5" s="98"/>
      <c r="F5" s="98"/>
      <c r="G5" s="98"/>
      <c r="H5" s="98"/>
      <c r="I5" s="98"/>
    </row>
    <row r="6" spans="1:9" ht="12.75">
      <c r="A6" s="98"/>
      <c r="B6" s="98"/>
      <c r="C6" s="98"/>
      <c r="D6" s="98"/>
      <c r="E6" s="98"/>
      <c r="F6" s="98"/>
      <c r="G6" s="98"/>
      <c r="H6" s="98"/>
      <c r="I6" s="98"/>
    </row>
    <row r="7" spans="1:9" ht="12.75">
      <c r="A7" s="98" t="s">
        <v>483</v>
      </c>
      <c r="B7" s="98"/>
      <c r="C7" s="98" t="str">
        <f>'[15]Krycí list'!E26</f>
        <v> </v>
      </c>
      <c r="D7" s="98"/>
      <c r="E7" s="98"/>
      <c r="F7" s="98"/>
      <c r="G7" s="98"/>
      <c r="H7" s="98"/>
      <c r="I7" s="98"/>
    </row>
    <row r="8" spans="1:9" ht="12.75">
      <c r="A8" s="98" t="s">
        <v>484</v>
      </c>
      <c r="B8" s="98"/>
      <c r="C8" s="98" t="str">
        <f>'[15]Krycí list'!E28</f>
        <v> </v>
      </c>
      <c r="D8" s="98"/>
      <c r="E8" s="98"/>
      <c r="F8" s="98"/>
      <c r="G8" s="98"/>
      <c r="H8" s="98"/>
      <c r="I8" s="98"/>
    </row>
    <row r="9" spans="1:9" ht="12.75">
      <c r="A9" s="98" t="s">
        <v>485</v>
      </c>
      <c r="B9" s="98"/>
      <c r="C9" s="98"/>
      <c r="D9" s="98"/>
      <c r="E9" s="98"/>
      <c r="F9" s="98"/>
      <c r="G9" s="98"/>
      <c r="H9" s="98"/>
      <c r="I9" s="98"/>
    </row>
    <row r="10" spans="1:9" ht="12.75">
      <c r="A10" s="96"/>
      <c r="B10" s="96"/>
      <c r="C10" s="96"/>
      <c r="D10" s="96"/>
      <c r="E10" s="96"/>
      <c r="F10" s="96"/>
      <c r="G10" s="96"/>
      <c r="H10" s="96"/>
      <c r="I10" s="96"/>
    </row>
    <row r="11" spans="1:9" ht="22.5">
      <c r="A11" s="99" t="s">
        <v>79</v>
      </c>
      <c r="B11" s="100" t="s">
        <v>487</v>
      </c>
      <c r="C11" s="100" t="s">
        <v>80</v>
      </c>
      <c r="D11" s="100" t="s">
        <v>81</v>
      </c>
      <c r="E11" s="100" t="s">
        <v>82</v>
      </c>
      <c r="F11" s="100" t="s">
        <v>2</v>
      </c>
      <c r="G11" s="100" t="s">
        <v>83</v>
      </c>
      <c r="H11" s="100" t="s">
        <v>84</v>
      </c>
      <c r="I11" s="100" t="s">
        <v>18</v>
      </c>
    </row>
    <row r="12" spans="1:9" ht="12.75">
      <c r="A12" s="101">
        <v>1</v>
      </c>
      <c r="B12" s="102">
        <v>2</v>
      </c>
      <c r="C12" s="102">
        <v>3</v>
      </c>
      <c r="D12" s="102">
        <v>4</v>
      </c>
      <c r="E12" s="102">
        <v>5</v>
      </c>
      <c r="F12" s="102">
        <v>6</v>
      </c>
      <c r="G12" s="102">
        <v>7</v>
      </c>
      <c r="H12" s="102">
        <v>8</v>
      </c>
      <c r="I12" s="102">
        <v>9</v>
      </c>
    </row>
    <row r="13" spans="1:9" ht="12.75">
      <c r="A13" s="96"/>
      <c r="B13" s="96"/>
      <c r="C13" s="96"/>
      <c r="D13" s="96"/>
      <c r="E13" s="96"/>
      <c r="F13" s="96"/>
      <c r="G13" s="96"/>
      <c r="H13" s="96"/>
      <c r="I13" s="96"/>
    </row>
    <row r="14" spans="1:9" ht="12.75">
      <c r="A14" s="103"/>
      <c r="B14" s="104" t="s">
        <v>488</v>
      </c>
      <c r="C14" s="103"/>
      <c r="D14" s="103" t="s">
        <v>14</v>
      </c>
      <c r="E14" s="103" t="s">
        <v>91</v>
      </c>
      <c r="F14" s="103"/>
      <c r="G14" s="103"/>
      <c r="H14" s="103"/>
      <c r="I14" s="105">
        <f>I15+I121+I123+I129+I249+I272</f>
        <v>0</v>
      </c>
    </row>
    <row r="15" spans="1:9" ht="12.75">
      <c r="A15" s="106"/>
      <c r="B15" s="107" t="s">
        <v>488</v>
      </c>
      <c r="C15" s="106"/>
      <c r="D15" s="108" t="s">
        <v>24</v>
      </c>
      <c r="E15" s="108" t="s">
        <v>17</v>
      </c>
      <c r="F15" s="106"/>
      <c r="G15" s="106"/>
      <c r="H15" s="106"/>
      <c r="I15" s="109">
        <f>SUM(I16:I120)</f>
        <v>0</v>
      </c>
    </row>
    <row r="16" spans="1:9" ht="12.75">
      <c r="A16" s="110" t="s">
        <v>24</v>
      </c>
      <c r="B16" s="110" t="s">
        <v>489</v>
      </c>
      <c r="C16" s="110" t="s">
        <v>92</v>
      </c>
      <c r="D16" s="111" t="s">
        <v>99</v>
      </c>
      <c r="E16" s="112" t="s">
        <v>100</v>
      </c>
      <c r="F16" s="110" t="s">
        <v>75</v>
      </c>
      <c r="G16" s="113">
        <v>50</v>
      </c>
      <c r="H16" s="114"/>
      <c r="I16" s="114">
        <f>ROUND(G16*H16,2)</f>
        <v>0</v>
      </c>
    </row>
    <row r="17" spans="1:9" ht="12.75">
      <c r="A17" s="110" t="s">
        <v>36</v>
      </c>
      <c r="B17" s="110" t="s">
        <v>489</v>
      </c>
      <c r="C17" s="110" t="s">
        <v>92</v>
      </c>
      <c r="D17" s="111" t="s">
        <v>93</v>
      </c>
      <c r="E17" s="112" t="s">
        <v>94</v>
      </c>
      <c r="F17" s="110" t="s">
        <v>95</v>
      </c>
      <c r="G17" s="113">
        <v>300</v>
      </c>
      <c r="H17" s="114"/>
      <c r="I17" s="114">
        <f>ROUND(G17*H17,2)</f>
        <v>0</v>
      </c>
    </row>
    <row r="18" spans="1:9" ht="12.75">
      <c r="A18" s="110" t="s">
        <v>85</v>
      </c>
      <c r="B18" s="110" t="s">
        <v>489</v>
      </c>
      <c r="C18" s="110" t="s">
        <v>92</v>
      </c>
      <c r="D18" s="111" t="s">
        <v>96</v>
      </c>
      <c r="E18" s="112" t="s">
        <v>97</v>
      </c>
      <c r="F18" s="110" t="s">
        <v>98</v>
      </c>
      <c r="G18" s="113">
        <v>30</v>
      </c>
      <c r="H18" s="114"/>
      <c r="I18" s="114">
        <f>ROUND(G18*H18,2)</f>
        <v>0</v>
      </c>
    </row>
    <row r="19" spans="1:9" ht="12.75">
      <c r="A19" s="110" t="s">
        <v>86</v>
      </c>
      <c r="B19" s="110" t="s">
        <v>489</v>
      </c>
      <c r="C19" s="110" t="s">
        <v>92</v>
      </c>
      <c r="D19" s="111" t="s">
        <v>101</v>
      </c>
      <c r="E19" s="112" t="s">
        <v>102</v>
      </c>
      <c r="F19" s="110" t="s">
        <v>103</v>
      </c>
      <c r="G19" s="113">
        <v>298.818</v>
      </c>
      <c r="H19" s="114"/>
      <c r="I19" s="114">
        <f>ROUND(G19*H19,2)</f>
        <v>0</v>
      </c>
    </row>
    <row r="20" spans="1:9" ht="12.75">
      <c r="A20" s="111"/>
      <c r="B20" s="111"/>
      <c r="C20" s="111"/>
      <c r="D20" s="115"/>
      <c r="E20" s="115" t="s">
        <v>425</v>
      </c>
      <c r="F20" s="111"/>
      <c r="G20" s="116">
        <v>298.818</v>
      </c>
      <c r="H20" s="111"/>
      <c r="I20" s="111"/>
    </row>
    <row r="21" spans="1:9" ht="12.75">
      <c r="A21" s="110" t="s">
        <v>87</v>
      </c>
      <c r="B21" s="110" t="s">
        <v>489</v>
      </c>
      <c r="C21" s="110" t="s">
        <v>92</v>
      </c>
      <c r="D21" s="111" t="s">
        <v>113</v>
      </c>
      <c r="E21" s="112" t="s">
        <v>114</v>
      </c>
      <c r="F21" s="110" t="s">
        <v>103</v>
      </c>
      <c r="G21" s="113">
        <f>G23+G25+G27+G29+G31+G32+G34+G36+G38+G40</f>
        <v>2036.734</v>
      </c>
      <c r="H21" s="114"/>
      <c r="I21" s="114">
        <f>ROUND(G21*H21,2)</f>
        <v>0</v>
      </c>
    </row>
    <row r="22" spans="1:9" ht="12.75">
      <c r="A22" s="111"/>
      <c r="B22" s="111"/>
      <c r="C22" s="111"/>
      <c r="D22" s="117"/>
      <c r="E22" s="117" t="s">
        <v>612</v>
      </c>
      <c r="F22" s="111"/>
      <c r="G22" s="118"/>
      <c r="H22" s="111"/>
      <c r="I22" s="111"/>
    </row>
    <row r="23" spans="1:9" ht="12.75">
      <c r="A23" s="111"/>
      <c r="B23" s="111"/>
      <c r="C23" s="111"/>
      <c r="D23" s="115"/>
      <c r="E23" s="115" t="s">
        <v>704</v>
      </c>
      <c r="F23" s="111"/>
      <c r="G23" s="116">
        <f>(27.3*1*2.36+31.6*1*2.31+14.9*1*2.31+11.6*1*2.37+18.9*1*2.44+18.5*1*2.5+50*1*2.57+49.7*1*2.55+21.6*1*2.52+43.9*1*2.48+24.6*1*2.43+12.2*1*2.34)*0.8</f>
        <v>638.853</v>
      </c>
      <c r="H23" s="111"/>
      <c r="I23" s="111"/>
    </row>
    <row r="24" spans="1:9" ht="12.75">
      <c r="A24" s="111"/>
      <c r="B24" s="111"/>
      <c r="C24" s="111"/>
      <c r="D24" s="117"/>
      <c r="E24" s="117" t="s">
        <v>613</v>
      </c>
      <c r="F24" s="111"/>
      <c r="G24" s="119"/>
      <c r="H24" s="111"/>
      <c r="I24" s="111"/>
    </row>
    <row r="25" spans="1:9" ht="12.75">
      <c r="A25" s="111"/>
      <c r="B25" s="111"/>
      <c r="C25" s="111"/>
      <c r="D25" s="115"/>
      <c r="E25" s="115" t="s">
        <v>705</v>
      </c>
      <c r="F25" s="111"/>
      <c r="G25" s="116">
        <f>(50*1*2.43+31.1*1*2.49+31.1*1*2.45+50*1*2.62+47*1*3.33+26.8*1*4.12+36.1*1*4.01+35*1*3.2+34.2*1*2.43)*0.8</f>
        <v>810.342</v>
      </c>
      <c r="H25" s="111"/>
      <c r="I25" s="111"/>
    </row>
    <row r="26" spans="1:9" ht="12.75">
      <c r="A26" s="111"/>
      <c r="B26" s="111"/>
      <c r="C26" s="111"/>
      <c r="D26" s="117"/>
      <c r="E26" s="117" t="s">
        <v>614</v>
      </c>
      <c r="F26" s="111"/>
      <c r="G26" s="119"/>
      <c r="H26" s="111"/>
      <c r="I26" s="111"/>
    </row>
    <row r="27" spans="1:9" ht="12.75">
      <c r="A27" s="111"/>
      <c r="B27" s="111"/>
      <c r="C27" s="111"/>
      <c r="D27" s="115"/>
      <c r="E27" s="115" t="s">
        <v>706</v>
      </c>
      <c r="F27" s="111"/>
      <c r="G27" s="116">
        <f>(24.5*1*3.54+46*1*2.61)*0.8</f>
        <v>165.432</v>
      </c>
      <c r="H27" s="111"/>
      <c r="I27" s="111"/>
    </row>
    <row r="28" spans="1:9" ht="12.75">
      <c r="A28" s="111"/>
      <c r="B28" s="111"/>
      <c r="C28" s="111"/>
      <c r="D28" s="117"/>
      <c r="E28" s="117" t="s">
        <v>615</v>
      </c>
      <c r="F28" s="111"/>
      <c r="G28" s="119"/>
      <c r="H28" s="111"/>
      <c r="I28" s="111"/>
    </row>
    <row r="29" spans="1:9" ht="12.75">
      <c r="A29" s="111"/>
      <c r="B29" s="111"/>
      <c r="C29" s="111"/>
      <c r="D29" s="115"/>
      <c r="E29" s="115" t="s">
        <v>707</v>
      </c>
      <c r="F29" s="111"/>
      <c r="G29" s="116">
        <f>(44.9*1*2.43+50*1*2.49+32*1*2.62+39.4*1*2.49+47.7*1*2.51)*0.8</f>
        <v>428.224</v>
      </c>
      <c r="H29" s="111"/>
      <c r="I29" s="111"/>
    </row>
    <row r="30" spans="1:9" ht="12.75">
      <c r="A30" s="111"/>
      <c r="B30" s="111"/>
      <c r="C30" s="111"/>
      <c r="D30" s="117"/>
      <c r="E30" s="117" t="s">
        <v>616</v>
      </c>
      <c r="F30" s="111"/>
      <c r="G30" s="119"/>
      <c r="H30" s="111"/>
      <c r="I30" s="111"/>
    </row>
    <row r="31" spans="1:9" ht="12.75">
      <c r="A31" s="111"/>
      <c r="B31" s="111"/>
      <c r="C31" s="111"/>
      <c r="D31" s="115"/>
      <c r="E31" s="115" t="s">
        <v>708</v>
      </c>
      <c r="F31" s="111"/>
      <c r="G31" s="116">
        <f>(50*1*2.59)*0.8</f>
        <v>103.6</v>
      </c>
      <c r="H31" s="111"/>
      <c r="I31" s="111"/>
    </row>
    <row r="32" spans="1:9" ht="12.75">
      <c r="A32" s="111"/>
      <c r="B32" s="111"/>
      <c r="C32" s="111"/>
      <c r="D32" s="115"/>
      <c r="E32" s="115" t="s">
        <v>709</v>
      </c>
      <c r="F32" s="111"/>
      <c r="G32" s="116">
        <f>29*1.2*2.2*(1341.53*2/1000.6)*0.8</f>
        <v>164.234</v>
      </c>
      <c r="H32" s="111"/>
      <c r="I32" s="111"/>
    </row>
    <row r="33" spans="1:9" ht="12.75">
      <c r="A33" s="111"/>
      <c r="B33" s="111"/>
      <c r="C33" s="111"/>
      <c r="D33" s="117"/>
      <c r="E33" s="117" t="s">
        <v>594</v>
      </c>
      <c r="F33" s="111"/>
      <c r="G33" s="119"/>
      <c r="H33" s="111"/>
      <c r="I33" s="111"/>
    </row>
    <row r="34" spans="1:9" ht="12.75">
      <c r="A34" s="111"/>
      <c r="B34" s="111"/>
      <c r="C34" s="111"/>
      <c r="D34" s="115"/>
      <c r="E34" s="115" t="s">
        <v>710</v>
      </c>
      <c r="F34" s="111"/>
      <c r="G34" s="116">
        <f>2.2*2.2*0.3*0.8*29</f>
        <v>33.686</v>
      </c>
      <c r="H34" s="111"/>
      <c r="I34" s="111"/>
    </row>
    <row r="35" spans="1:9" ht="12.75">
      <c r="A35" s="111"/>
      <c r="B35" s="111"/>
      <c r="C35" s="111"/>
      <c r="D35" s="117"/>
      <c r="E35" s="117" t="s">
        <v>596</v>
      </c>
      <c r="F35" s="111"/>
      <c r="G35" s="119"/>
      <c r="H35" s="111"/>
      <c r="I35" s="111"/>
    </row>
    <row r="36" spans="1:9" ht="12.75">
      <c r="A36" s="111"/>
      <c r="B36" s="111"/>
      <c r="C36" s="111"/>
      <c r="D36" s="115"/>
      <c r="E36" s="115" t="s">
        <v>711</v>
      </c>
      <c r="F36" s="111"/>
      <c r="G36" s="116">
        <f>383*1*0.45*0.8*-1</f>
        <v>-137.88</v>
      </c>
      <c r="H36" s="111"/>
      <c r="I36" s="111"/>
    </row>
    <row r="37" spans="1:9" ht="12.75">
      <c r="A37" s="111"/>
      <c r="B37" s="111"/>
      <c r="C37" s="111"/>
      <c r="D37" s="117"/>
      <c r="E37" s="117" t="s">
        <v>597</v>
      </c>
      <c r="F37" s="111"/>
      <c r="G37" s="119"/>
      <c r="H37" s="111"/>
      <c r="I37" s="111"/>
    </row>
    <row r="38" spans="1:9" ht="12.75">
      <c r="A38" s="111"/>
      <c r="B38" s="111"/>
      <c r="C38" s="111"/>
      <c r="D38" s="115"/>
      <c r="E38" s="115" t="s">
        <v>712</v>
      </c>
      <c r="F38" s="111"/>
      <c r="G38" s="116">
        <f>618*1*0.3*0.8*-1</f>
        <v>-148.32</v>
      </c>
      <c r="H38" s="111"/>
      <c r="I38" s="111"/>
    </row>
    <row r="39" spans="1:9" ht="12.75">
      <c r="A39" s="111"/>
      <c r="B39" s="111"/>
      <c r="C39" s="111"/>
      <c r="D39" s="117"/>
      <c r="E39" s="117" t="s">
        <v>598</v>
      </c>
      <c r="F39" s="111"/>
      <c r="G39" s="119"/>
      <c r="H39" s="111"/>
      <c r="I39" s="111"/>
    </row>
    <row r="40" spans="1:9" ht="12.75">
      <c r="A40" s="111"/>
      <c r="B40" s="111"/>
      <c r="C40" s="111"/>
      <c r="D40" s="115"/>
      <c r="E40" s="115" t="s">
        <v>713</v>
      </c>
      <c r="F40" s="111"/>
      <c r="G40" s="116">
        <f>29*2.2*1.2*0.35*0.8*-1</f>
        <v>-21.437</v>
      </c>
      <c r="H40" s="111"/>
      <c r="I40" s="111"/>
    </row>
    <row r="41" spans="1:9" ht="12.75">
      <c r="A41" s="110" t="s">
        <v>88</v>
      </c>
      <c r="B41" s="110" t="s">
        <v>489</v>
      </c>
      <c r="C41" s="110" t="s">
        <v>493</v>
      </c>
      <c r="D41" s="111" t="s">
        <v>115</v>
      </c>
      <c r="E41" s="112" t="s">
        <v>116</v>
      </c>
      <c r="F41" s="110" t="s">
        <v>103</v>
      </c>
      <c r="G41" s="113">
        <f>G42</f>
        <v>611.02</v>
      </c>
      <c r="H41" s="114"/>
      <c r="I41" s="114">
        <f>ROUND(G41*H41,2)</f>
        <v>0</v>
      </c>
    </row>
    <row r="42" spans="1:9" ht="12.75">
      <c r="A42" s="111"/>
      <c r="B42" s="111"/>
      <c r="C42" s="111"/>
      <c r="D42" s="115"/>
      <c r="E42" s="115" t="s">
        <v>714</v>
      </c>
      <c r="F42" s="111"/>
      <c r="G42" s="116">
        <f>G21*0.3</f>
        <v>611.02</v>
      </c>
      <c r="H42" s="111"/>
      <c r="I42" s="111"/>
    </row>
    <row r="43" spans="1:9" ht="12.75">
      <c r="A43" s="110" t="s">
        <v>89</v>
      </c>
      <c r="B43" s="110" t="s">
        <v>489</v>
      </c>
      <c r="C43" s="110" t="s">
        <v>92</v>
      </c>
      <c r="D43" s="111" t="s">
        <v>117</v>
      </c>
      <c r="E43" s="112" t="s">
        <v>274</v>
      </c>
      <c r="F43" s="110" t="s">
        <v>103</v>
      </c>
      <c r="G43" s="113">
        <f>G21/4</f>
        <v>509.184</v>
      </c>
      <c r="H43" s="114"/>
      <c r="I43" s="114">
        <f>ROUND(G43*H43,2)</f>
        <v>0</v>
      </c>
    </row>
    <row r="44" spans="1:9" ht="12.75">
      <c r="A44" s="110" t="s">
        <v>90</v>
      </c>
      <c r="B44" s="110" t="s">
        <v>489</v>
      </c>
      <c r="C44" s="110" t="s">
        <v>92</v>
      </c>
      <c r="D44" s="111" t="s">
        <v>118</v>
      </c>
      <c r="E44" s="112" t="s">
        <v>119</v>
      </c>
      <c r="F44" s="110" t="s">
        <v>103</v>
      </c>
      <c r="G44" s="113">
        <f>G43*0.3</f>
        <v>152.755</v>
      </c>
      <c r="H44" s="114"/>
      <c r="I44" s="114">
        <f>ROUND(G44*H44,2)</f>
        <v>0</v>
      </c>
    </row>
    <row r="45" spans="1:9" ht="12.75">
      <c r="A45" s="110" t="s">
        <v>257</v>
      </c>
      <c r="B45" s="110" t="s">
        <v>489</v>
      </c>
      <c r="C45" s="110" t="s">
        <v>92</v>
      </c>
      <c r="D45" s="111" t="s">
        <v>127</v>
      </c>
      <c r="E45" s="112" t="s">
        <v>128</v>
      </c>
      <c r="F45" s="110" t="s">
        <v>129</v>
      </c>
      <c r="G45" s="113">
        <v>4002.4</v>
      </c>
      <c r="H45" s="114"/>
      <c r="I45" s="114">
        <f>ROUND(G45*H45,2)</f>
        <v>0</v>
      </c>
    </row>
    <row r="46" spans="1:9" ht="12.75">
      <c r="A46" s="111"/>
      <c r="B46" s="111"/>
      <c r="C46" s="111"/>
      <c r="D46" s="115"/>
      <c r="E46" s="115" t="s">
        <v>426</v>
      </c>
      <c r="F46" s="111"/>
      <c r="G46" s="116">
        <v>4002.4</v>
      </c>
      <c r="H46" s="111"/>
      <c r="I46" s="111"/>
    </row>
    <row r="47" spans="1:9" ht="12.75">
      <c r="A47" s="110" t="s">
        <v>492</v>
      </c>
      <c r="B47" s="110" t="s">
        <v>489</v>
      </c>
      <c r="C47" s="110" t="s">
        <v>92</v>
      </c>
      <c r="D47" s="111" t="s">
        <v>134</v>
      </c>
      <c r="E47" s="112" t="s">
        <v>135</v>
      </c>
      <c r="F47" s="110" t="s">
        <v>129</v>
      </c>
      <c r="G47" s="113">
        <f>G51</f>
        <v>1108.665</v>
      </c>
      <c r="H47" s="114"/>
      <c r="I47" s="114">
        <f>ROUND(G47*H47,2)</f>
        <v>0</v>
      </c>
    </row>
    <row r="48" spans="1:9" ht="12.75">
      <c r="A48" s="111"/>
      <c r="B48" s="111"/>
      <c r="C48" s="111"/>
      <c r="D48" s="117"/>
      <c r="E48" s="117" t="s">
        <v>617</v>
      </c>
      <c r="F48" s="111"/>
      <c r="G48" s="118"/>
      <c r="H48" s="111"/>
      <c r="I48" s="111"/>
    </row>
    <row r="49" spans="1:9" ht="12.75">
      <c r="A49" s="111"/>
      <c r="B49" s="111"/>
      <c r="C49" s="111"/>
      <c r="D49" s="115"/>
      <c r="E49" s="115" t="s">
        <v>618</v>
      </c>
      <c r="F49" s="111"/>
      <c r="G49" s="116">
        <v>2.554</v>
      </c>
      <c r="H49" s="111"/>
      <c r="I49" s="111"/>
    </row>
    <row r="50" spans="1:9" ht="12.75">
      <c r="A50" s="111"/>
      <c r="B50" s="111"/>
      <c r="C50" s="111"/>
      <c r="D50" s="117"/>
      <c r="E50" s="117" t="s">
        <v>619</v>
      </c>
      <c r="F50" s="111"/>
      <c r="G50" s="119"/>
      <c r="H50" s="111"/>
      <c r="I50" s="111"/>
    </row>
    <row r="51" spans="1:9" ht="12.75">
      <c r="A51" s="111"/>
      <c r="B51" s="111"/>
      <c r="C51" s="111"/>
      <c r="D51" s="115"/>
      <c r="E51" s="115" t="s">
        <v>427</v>
      </c>
      <c r="F51" s="111"/>
      <c r="G51" s="116">
        <v>1108.665</v>
      </c>
      <c r="H51" s="111"/>
      <c r="I51" s="111"/>
    </row>
    <row r="52" spans="1:9" ht="12.75">
      <c r="A52" s="111"/>
      <c r="B52" s="111"/>
      <c r="C52" s="111"/>
      <c r="D52" s="117"/>
      <c r="E52" s="117" t="s">
        <v>620</v>
      </c>
      <c r="F52" s="111"/>
      <c r="G52" s="119"/>
      <c r="H52" s="111"/>
      <c r="I52" s="111"/>
    </row>
    <row r="53" spans="1:9" ht="12.75">
      <c r="A53" s="111"/>
      <c r="B53" s="111"/>
      <c r="C53" s="111"/>
      <c r="D53" s="117"/>
      <c r="E53" s="117" t="s">
        <v>428</v>
      </c>
      <c r="F53" s="111"/>
      <c r="G53" s="119"/>
      <c r="H53" s="111"/>
      <c r="I53" s="111"/>
    </row>
    <row r="54" spans="1:9" ht="12.75">
      <c r="A54" s="110" t="s">
        <v>494</v>
      </c>
      <c r="B54" s="110" t="s">
        <v>489</v>
      </c>
      <c r="C54" s="110" t="s">
        <v>92</v>
      </c>
      <c r="D54" s="111" t="s">
        <v>132</v>
      </c>
      <c r="E54" s="112" t="s">
        <v>133</v>
      </c>
      <c r="F54" s="110" t="s">
        <v>129</v>
      </c>
      <c r="G54" s="113">
        <v>4002.4</v>
      </c>
      <c r="H54" s="114"/>
      <c r="I54" s="114">
        <f>ROUND(G54*H54,2)</f>
        <v>0</v>
      </c>
    </row>
    <row r="55" spans="1:9" ht="12.75">
      <c r="A55" s="110" t="s">
        <v>254</v>
      </c>
      <c r="B55" s="110" t="s">
        <v>489</v>
      </c>
      <c r="C55" s="110" t="s">
        <v>92</v>
      </c>
      <c r="D55" s="111" t="s">
        <v>136</v>
      </c>
      <c r="E55" s="112" t="s">
        <v>137</v>
      </c>
      <c r="F55" s="110" t="s">
        <v>129</v>
      </c>
      <c r="G55" s="113">
        <v>1108.665</v>
      </c>
      <c r="H55" s="114"/>
      <c r="I55" s="114">
        <f>ROUND(G55*H55,2)</f>
        <v>0</v>
      </c>
    </row>
    <row r="56" spans="1:9" ht="12.75">
      <c r="A56" s="111"/>
      <c r="B56" s="111"/>
      <c r="C56" s="111"/>
      <c r="D56" s="115"/>
      <c r="E56" s="115" t="s">
        <v>429</v>
      </c>
      <c r="F56" s="111"/>
      <c r="G56" s="116">
        <v>1108.665</v>
      </c>
      <c r="H56" s="111"/>
      <c r="I56" s="111"/>
    </row>
    <row r="57" spans="1:9" ht="12.75">
      <c r="A57" s="110" t="s">
        <v>256</v>
      </c>
      <c r="B57" s="110" t="s">
        <v>489</v>
      </c>
      <c r="C57" s="110" t="s">
        <v>92</v>
      </c>
      <c r="D57" s="111" t="s">
        <v>120</v>
      </c>
      <c r="E57" s="112" t="s">
        <v>121</v>
      </c>
      <c r="F57" s="110" t="s">
        <v>103</v>
      </c>
      <c r="G57" s="113">
        <v>2299.898</v>
      </c>
      <c r="H57" s="114"/>
      <c r="I57" s="114">
        <f>ROUND(G57*H57,2)</f>
        <v>0</v>
      </c>
    </row>
    <row r="58" spans="1:9" ht="12.75">
      <c r="A58" s="111"/>
      <c r="B58" s="111"/>
      <c r="C58" s="111"/>
      <c r="D58" s="117"/>
      <c r="E58" s="117" t="s">
        <v>612</v>
      </c>
      <c r="F58" s="111"/>
      <c r="G58" s="118"/>
      <c r="H58" s="111"/>
      <c r="I58" s="111"/>
    </row>
    <row r="59" spans="1:9" ht="12.75">
      <c r="A59" s="111"/>
      <c r="B59" s="111"/>
      <c r="C59" s="111"/>
      <c r="D59" s="115"/>
      <c r="E59" s="115" t="s">
        <v>430</v>
      </c>
      <c r="F59" s="111"/>
      <c r="G59" s="116">
        <v>792.149</v>
      </c>
      <c r="H59" s="111"/>
      <c r="I59" s="111"/>
    </row>
    <row r="60" spans="1:9" ht="12.75">
      <c r="A60" s="111"/>
      <c r="B60" s="111"/>
      <c r="C60" s="111"/>
      <c r="D60" s="117"/>
      <c r="E60" s="117" t="s">
        <v>613</v>
      </c>
      <c r="F60" s="111"/>
      <c r="G60" s="119"/>
      <c r="H60" s="111"/>
      <c r="I60" s="111"/>
    </row>
    <row r="61" spans="1:9" ht="12.75">
      <c r="A61" s="111"/>
      <c r="B61" s="111"/>
      <c r="C61" s="111"/>
      <c r="D61" s="115"/>
      <c r="E61" s="115" t="s">
        <v>431</v>
      </c>
      <c r="F61" s="111"/>
      <c r="G61" s="116">
        <v>845.49</v>
      </c>
      <c r="H61" s="111"/>
      <c r="I61" s="111"/>
    </row>
    <row r="62" spans="1:9" ht="12.75">
      <c r="A62" s="111"/>
      <c r="B62" s="111"/>
      <c r="C62" s="111"/>
      <c r="D62" s="117"/>
      <c r="E62" s="117" t="s">
        <v>614</v>
      </c>
      <c r="F62" s="111"/>
      <c r="G62" s="119"/>
      <c r="H62" s="111"/>
      <c r="I62" s="111"/>
    </row>
    <row r="63" spans="1:9" ht="12.75">
      <c r="A63" s="111"/>
      <c r="B63" s="111"/>
      <c r="C63" s="111"/>
      <c r="D63" s="115"/>
      <c r="E63" s="115" t="s">
        <v>432</v>
      </c>
      <c r="F63" s="111"/>
      <c r="G63" s="116">
        <v>176.25</v>
      </c>
      <c r="H63" s="111"/>
      <c r="I63" s="111"/>
    </row>
    <row r="64" spans="1:9" ht="12.75">
      <c r="A64" s="111"/>
      <c r="B64" s="111"/>
      <c r="C64" s="111"/>
      <c r="D64" s="117"/>
      <c r="E64" s="117" t="s">
        <v>615</v>
      </c>
      <c r="F64" s="111"/>
      <c r="G64" s="119"/>
      <c r="H64" s="111"/>
      <c r="I64" s="111"/>
    </row>
    <row r="65" spans="1:9" ht="12.75">
      <c r="A65" s="111"/>
      <c r="B65" s="111"/>
      <c r="C65" s="111"/>
      <c r="D65" s="115"/>
      <c r="E65" s="115" t="s">
        <v>433</v>
      </c>
      <c r="F65" s="111"/>
      <c r="G65" s="116">
        <v>530.963</v>
      </c>
      <c r="H65" s="111"/>
      <c r="I65" s="111"/>
    </row>
    <row r="66" spans="1:9" ht="12.75">
      <c r="A66" s="111"/>
      <c r="B66" s="111"/>
      <c r="C66" s="111"/>
      <c r="D66" s="117"/>
      <c r="E66" s="117" t="s">
        <v>616</v>
      </c>
      <c r="F66" s="111"/>
      <c r="G66" s="119"/>
      <c r="H66" s="111"/>
      <c r="I66" s="111"/>
    </row>
    <row r="67" spans="1:9" ht="12.75">
      <c r="A67" s="111"/>
      <c r="B67" s="111"/>
      <c r="C67" s="111"/>
      <c r="D67" s="115"/>
      <c r="E67" s="115" t="s">
        <v>434</v>
      </c>
      <c r="F67" s="111"/>
      <c r="G67" s="116">
        <v>125</v>
      </c>
      <c r="H67" s="111"/>
      <c r="I67" s="111"/>
    </row>
    <row r="68" spans="1:9" ht="12.75">
      <c r="A68" s="111"/>
      <c r="B68" s="111"/>
      <c r="C68" s="111"/>
      <c r="D68" s="117"/>
      <c r="E68" s="117" t="s">
        <v>593</v>
      </c>
      <c r="F68" s="111"/>
      <c r="G68" s="119"/>
      <c r="H68" s="111"/>
      <c r="I68" s="111"/>
    </row>
    <row r="69" spans="1:9" ht="12.75">
      <c r="A69" s="111"/>
      <c r="B69" s="111"/>
      <c r="C69" s="111"/>
      <c r="D69" s="115"/>
      <c r="E69" s="115" t="s">
        <v>435</v>
      </c>
      <c r="F69" s="111"/>
      <c r="G69" s="116">
        <v>205.292</v>
      </c>
      <c r="H69" s="111"/>
      <c r="I69" s="111"/>
    </row>
    <row r="70" spans="1:9" ht="12.75">
      <c r="A70" s="111"/>
      <c r="B70" s="111"/>
      <c r="C70" s="111"/>
      <c r="D70" s="117"/>
      <c r="E70" s="117" t="s">
        <v>596</v>
      </c>
      <c r="F70" s="111"/>
      <c r="G70" s="119"/>
      <c r="H70" s="111"/>
      <c r="I70" s="111"/>
    </row>
    <row r="71" spans="1:9" ht="12.75">
      <c r="A71" s="111"/>
      <c r="B71" s="111"/>
      <c r="C71" s="111"/>
      <c r="D71" s="115"/>
      <c r="E71" s="115" t="s">
        <v>436</v>
      </c>
      <c r="F71" s="111"/>
      <c r="G71" s="116">
        <v>-172.35</v>
      </c>
      <c r="H71" s="111"/>
      <c r="I71" s="111"/>
    </row>
    <row r="72" spans="1:9" ht="12.75">
      <c r="A72" s="111"/>
      <c r="B72" s="111"/>
      <c r="C72" s="111"/>
      <c r="D72" s="117"/>
      <c r="E72" s="117" t="s">
        <v>597</v>
      </c>
      <c r="F72" s="111"/>
      <c r="G72" s="119"/>
      <c r="H72" s="111"/>
      <c r="I72" s="111"/>
    </row>
    <row r="73" spans="1:9" ht="12.75">
      <c r="A73" s="111"/>
      <c r="B73" s="111"/>
      <c r="C73" s="111"/>
      <c r="D73" s="115"/>
      <c r="E73" s="115" t="s">
        <v>437</v>
      </c>
      <c r="F73" s="111"/>
      <c r="G73" s="116">
        <v>-176.1</v>
      </c>
      <c r="H73" s="111"/>
      <c r="I73" s="111"/>
    </row>
    <row r="74" spans="1:9" ht="12.75">
      <c r="A74" s="111"/>
      <c r="B74" s="111"/>
      <c r="C74" s="111"/>
      <c r="D74" s="117"/>
      <c r="E74" s="117" t="s">
        <v>598</v>
      </c>
      <c r="F74" s="111"/>
      <c r="G74" s="119"/>
      <c r="H74" s="111"/>
      <c r="I74" s="111"/>
    </row>
    <row r="75" spans="1:9" ht="12.75">
      <c r="A75" s="111"/>
      <c r="B75" s="111"/>
      <c r="C75" s="111"/>
      <c r="D75" s="115"/>
      <c r="E75" s="115" t="s">
        <v>438</v>
      </c>
      <c r="F75" s="111"/>
      <c r="G75" s="116">
        <v>-26.796</v>
      </c>
      <c r="H75" s="111"/>
      <c r="I75" s="111"/>
    </row>
    <row r="76" spans="1:9" ht="12.75">
      <c r="A76" s="110" t="s">
        <v>495</v>
      </c>
      <c r="B76" s="110" t="s">
        <v>489</v>
      </c>
      <c r="C76" s="110" t="s">
        <v>92</v>
      </c>
      <c r="D76" s="111" t="s">
        <v>122</v>
      </c>
      <c r="E76" s="112" t="s">
        <v>123</v>
      </c>
      <c r="F76" s="110" t="s">
        <v>103</v>
      </c>
      <c r="G76" s="113">
        <v>246.018</v>
      </c>
      <c r="H76" s="114"/>
      <c r="I76" s="114">
        <f>ROUND(G76*H76,2)</f>
        <v>0</v>
      </c>
    </row>
    <row r="77" spans="1:9" ht="12.75">
      <c r="A77" s="111"/>
      <c r="B77" s="111"/>
      <c r="C77" s="111"/>
      <c r="D77" s="115"/>
      <c r="E77" s="115" t="s">
        <v>439</v>
      </c>
      <c r="F77" s="111"/>
      <c r="G77" s="116">
        <v>246.018</v>
      </c>
      <c r="H77" s="111"/>
      <c r="I77" s="111"/>
    </row>
    <row r="78" spans="1:9" ht="12.75">
      <c r="A78" s="110" t="s">
        <v>184</v>
      </c>
      <c r="B78" s="110" t="s">
        <v>489</v>
      </c>
      <c r="C78" s="110" t="s">
        <v>92</v>
      </c>
      <c r="D78" s="111" t="s">
        <v>144</v>
      </c>
      <c r="E78" s="112" t="s">
        <v>278</v>
      </c>
      <c r="F78" s="110" t="s">
        <v>103</v>
      </c>
      <c r="G78" s="113">
        <f>G80+G82</f>
        <v>3818.874</v>
      </c>
      <c r="H78" s="114"/>
      <c r="I78" s="114">
        <f>ROUND(G78*H78,2)</f>
        <v>0</v>
      </c>
    </row>
    <row r="79" spans="1:9" ht="12.75">
      <c r="A79" s="111"/>
      <c r="B79" s="111"/>
      <c r="C79" s="111"/>
      <c r="D79" s="117"/>
      <c r="E79" s="117" t="s">
        <v>599</v>
      </c>
      <c r="F79" s="111"/>
      <c r="G79" s="118"/>
      <c r="H79" s="111"/>
      <c r="I79" s="111"/>
    </row>
    <row r="80" spans="1:9" ht="12.75">
      <c r="A80" s="111"/>
      <c r="B80" s="111"/>
      <c r="C80" s="111"/>
      <c r="D80" s="115"/>
      <c r="E80" s="115" t="s">
        <v>440</v>
      </c>
      <c r="F80" s="111"/>
      <c r="G80" s="116">
        <v>2545.916</v>
      </c>
      <c r="H80" s="111"/>
      <c r="I80" s="111"/>
    </row>
    <row r="81" spans="1:9" ht="12.75">
      <c r="A81" s="111"/>
      <c r="B81" s="111"/>
      <c r="C81" s="111"/>
      <c r="D81" s="117"/>
      <c r="E81" s="117" t="s">
        <v>621</v>
      </c>
      <c r="F81" s="111"/>
      <c r="G81" s="119"/>
      <c r="H81" s="111"/>
      <c r="I81" s="111"/>
    </row>
    <row r="82" spans="1:9" ht="12.75">
      <c r="A82" s="111"/>
      <c r="B82" s="111"/>
      <c r="C82" s="111"/>
      <c r="D82" s="115"/>
      <c r="E82" s="115">
        <v>1272.958</v>
      </c>
      <c r="F82" s="111"/>
      <c r="G82" s="132">
        <v>1272.958</v>
      </c>
      <c r="H82" s="111"/>
      <c r="I82" s="111"/>
    </row>
    <row r="83" spans="1:9" ht="12.75">
      <c r="A83" s="110" t="s">
        <v>496</v>
      </c>
      <c r="B83" s="110" t="s">
        <v>489</v>
      </c>
      <c r="C83" s="110" t="s">
        <v>92</v>
      </c>
      <c r="D83" s="111" t="s">
        <v>146</v>
      </c>
      <c r="E83" s="112" t="s">
        <v>147</v>
      </c>
      <c r="F83" s="110" t="s">
        <v>103</v>
      </c>
      <c r="G83" s="113">
        <f>G85</f>
        <v>1272.958</v>
      </c>
      <c r="H83" s="114"/>
      <c r="I83" s="114">
        <f>ROUND(G83*H83,2)</f>
        <v>0</v>
      </c>
    </row>
    <row r="84" spans="1:9" ht="12.75">
      <c r="A84" s="111"/>
      <c r="B84" s="111"/>
      <c r="C84" s="111"/>
      <c r="D84" s="117"/>
      <c r="E84" s="117" t="s">
        <v>600</v>
      </c>
      <c r="F84" s="111"/>
      <c r="G84" s="118"/>
      <c r="H84" s="111"/>
      <c r="I84" s="111"/>
    </row>
    <row r="85" spans="1:9" ht="12.75">
      <c r="A85" s="111"/>
      <c r="B85" s="111"/>
      <c r="C85" s="111"/>
      <c r="D85" s="115"/>
      <c r="E85" s="115">
        <v>1272.958</v>
      </c>
      <c r="F85" s="111"/>
      <c r="G85" s="132">
        <v>1272.958</v>
      </c>
      <c r="H85" s="111"/>
      <c r="I85" s="111"/>
    </row>
    <row r="86" spans="1:9" ht="12.75">
      <c r="A86" s="110" t="s">
        <v>497</v>
      </c>
      <c r="B86" s="110" t="s">
        <v>489</v>
      </c>
      <c r="C86" s="110" t="s">
        <v>92</v>
      </c>
      <c r="D86" s="111" t="s">
        <v>149</v>
      </c>
      <c r="E86" s="112" t="s">
        <v>150</v>
      </c>
      <c r="F86" s="110" t="s">
        <v>103</v>
      </c>
      <c r="G86" s="113">
        <f>G87</f>
        <v>10183.664</v>
      </c>
      <c r="H86" s="114"/>
      <c r="I86" s="114">
        <f>ROUND(G86*H86,2)</f>
        <v>0</v>
      </c>
    </row>
    <row r="87" spans="1:9" ht="12.75">
      <c r="A87" s="111"/>
      <c r="B87" s="111"/>
      <c r="C87" s="111"/>
      <c r="D87" s="115"/>
      <c r="E87" s="115" t="s">
        <v>716</v>
      </c>
      <c r="F87" s="111"/>
      <c r="G87" s="116">
        <f>1272.958*8</f>
        <v>10183.664</v>
      </c>
      <c r="H87" s="111"/>
      <c r="I87" s="111"/>
    </row>
    <row r="88" spans="1:9" ht="12.75">
      <c r="A88" s="110" t="s">
        <v>498</v>
      </c>
      <c r="B88" s="110" t="s">
        <v>489</v>
      </c>
      <c r="C88" s="110" t="s">
        <v>92</v>
      </c>
      <c r="D88" s="111" t="s">
        <v>151</v>
      </c>
      <c r="E88" s="112" t="s">
        <v>152</v>
      </c>
      <c r="F88" s="110" t="s">
        <v>103</v>
      </c>
      <c r="G88" s="132">
        <v>1272.958</v>
      </c>
      <c r="H88" s="114"/>
      <c r="I88" s="114">
        <f>ROUND(G88*H88,2)</f>
        <v>0</v>
      </c>
    </row>
    <row r="89" spans="1:9" ht="12.75">
      <c r="A89" s="110" t="s">
        <v>499</v>
      </c>
      <c r="B89" s="110" t="s">
        <v>489</v>
      </c>
      <c r="C89" s="110" t="s">
        <v>92</v>
      </c>
      <c r="D89" s="111" t="s">
        <v>153</v>
      </c>
      <c r="E89" s="112" t="s">
        <v>154</v>
      </c>
      <c r="F89" s="110" t="s">
        <v>103</v>
      </c>
      <c r="G89" s="132">
        <v>1272.958</v>
      </c>
      <c r="H89" s="114"/>
      <c r="I89" s="114">
        <f>ROUND(G89*H89,2)</f>
        <v>0</v>
      </c>
    </row>
    <row r="90" spans="1:9" ht="12.75">
      <c r="A90" s="110" t="s">
        <v>500</v>
      </c>
      <c r="B90" s="110" t="s">
        <v>489</v>
      </c>
      <c r="C90" s="110" t="s">
        <v>92</v>
      </c>
      <c r="D90" s="111" t="s">
        <v>155</v>
      </c>
      <c r="E90" s="112" t="s">
        <v>156</v>
      </c>
      <c r="F90" s="110" t="s">
        <v>157</v>
      </c>
      <c r="G90" s="113">
        <f>G91</f>
        <v>2163.774</v>
      </c>
      <c r="H90" s="114"/>
      <c r="I90" s="114">
        <f>ROUND(G90*H90,2)</f>
        <v>0</v>
      </c>
    </row>
    <row r="91" spans="1:9" ht="12.75">
      <c r="A91" s="111"/>
      <c r="B91" s="111"/>
      <c r="C91" s="111"/>
      <c r="D91" s="115"/>
      <c r="E91" s="115" t="s">
        <v>715</v>
      </c>
      <c r="F91" s="111"/>
      <c r="G91" s="116">
        <f>2545.616*1.7*0.5</f>
        <v>2163.774</v>
      </c>
      <c r="H91" s="111"/>
      <c r="I91" s="111"/>
    </row>
    <row r="92" spans="1:9" ht="12.75">
      <c r="A92" s="110" t="s">
        <v>263</v>
      </c>
      <c r="B92" s="110" t="s">
        <v>489</v>
      </c>
      <c r="C92" s="110" t="s">
        <v>92</v>
      </c>
      <c r="D92" s="111" t="s">
        <v>159</v>
      </c>
      <c r="E92" s="112" t="s">
        <v>160</v>
      </c>
      <c r="F92" s="110" t="s">
        <v>103</v>
      </c>
      <c r="G92" s="113">
        <v>1709.592</v>
      </c>
      <c r="H92" s="114"/>
      <c r="I92" s="114">
        <f>ROUND(G92*H92,2)</f>
        <v>0</v>
      </c>
    </row>
    <row r="93" spans="1:9" ht="12.75">
      <c r="A93" s="111"/>
      <c r="B93" s="111"/>
      <c r="C93" s="111"/>
      <c r="D93" s="117"/>
      <c r="E93" s="117" t="s">
        <v>599</v>
      </c>
      <c r="F93" s="111"/>
      <c r="G93" s="118"/>
      <c r="H93" s="111"/>
      <c r="I93" s="111"/>
    </row>
    <row r="94" spans="1:9" ht="12.75">
      <c r="A94" s="111"/>
      <c r="B94" s="111"/>
      <c r="C94" s="111"/>
      <c r="D94" s="115"/>
      <c r="E94" s="115" t="s">
        <v>440</v>
      </c>
      <c r="F94" s="111"/>
      <c r="G94" s="116">
        <v>2545.916</v>
      </c>
      <c r="H94" s="111"/>
      <c r="I94" s="111"/>
    </row>
    <row r="95" spans="1:9" ht="12.75">
      <c r="A95" s="111"/>
      <c r="B95" s="111"/>
      <c r="C95" s="111"/>
      <c r="D95" s="117"/>
      <c r="E95" s="117" t="s">
        <v>601</v>
      </c>
      <c r="F95" s="111"/>
      <c r="G95" s="119"/>
      <c r="H95" s="111"/>
      <c r="I95" s="111"/>
    </row>
    <row r="96" spans="1:9" ht="12.75">
      <c r="A96" s="111"/>
      <c r="B96" s="111"/>
      <c r="C96" s="111"/>
      <c r="D96" s="115"/>
      <c r="E96" s="115" t="s">
        <v>441</v>
      </c>
      <c r="F96" s="111"/>
      <c r="G96" s="116">
        <v>-646.865</v>
      </c>
      <c r="H96" s="111"/>
      <c r="I96" s="111"/>
    </row>
    <row r="97" spans="1:9" ht="12.75">
      <c r="A97" s="111"/>
      <c r="B97" s="111"/>
      <c r="C97" s="111"/>
      <c r="D97" s="117"/>
      <c r="E97" s="117" t="s">
        <v>602</v>
      </c>
      <c r="F97" s="111"/>
      <c r="G97" s="119"/>
      <c r="H97" s="111"/>
      <c r="I97" s="111"/>
    </row>
    <row r="98" spans="1:9" ht="12.75">
      <c r="A98" s="111"/>
      <c r="B98" s="111"/>
      <c r="C98" s="111"/>
      <c r="D98" s="115"/>
      <c r="E98" s="115" t="s">
        <v>442</v>
      </c>
      <c r="F98" s="111"/>
      <c r="G98" s="116">
        <v>-100.06</v>
      </c>
      <c r="H98" s="111"/>
      <c r="I98" s="111"/>
    </row>
    <row r="99" spans="1:9" ht="12.75">
      <c r="A99" s="111"/>
      <c r="B99" s="111"/>
      <c r="C99" s="111"/>
      <c r="D99" s="117"/>
      <c r="E99" s="117" t="s">
        <v>603</v>
      </c>
      <c r="F99" s="111"/>
      <c r="G99" s="119"/>
      <c r="H99" s="111"/>
      <c r="I99" s="111"/>
    </row>
    <row r="100" spans="1:9" ht="12.75">
      <c r="A100" s="111"/>
      <c r="B100" s="111"/>
      <c r="C100" s="111"/>
      <c r="D100" s="115"/>
      <c r="E100" s="115" t="s">
        <v>443</v>
      </c>
      <c r="F100" s="111"/>
      <c r="G100" s="116">
        <v>-89.399</v>
      </c>
      <c r="H100" s="111"/>
      <c r="I100" s="111"/>
    </row>
    <row r="101" spans="1:9" ht="12.75">
      <c r="A101" s="110" t="s">
        <v>264</v>
      </c>
      <c r="B101" s="110" t="s">
        <v>489</v>
      </c>
      <c r="C101" s="110" t="s">
        <v>92</v>
      </c>
      <c r="D101" s="111" t="s">
        <v>172</v>
      </c>
      <c r="E101" s="112" t="s">
        <v>173</v>
      </c>
      <c r="F101" s="110" t="s">
        <v>103</v>
      </c>
      <c r="G101" s="113">
        <v>646.865</v>
      </c>
      <c r="H101" s="114"/>
      <c r="I101" s="114">
        <f>ROUND(G101*H101,2)</f>
        <v>0</v>
      </c>
    </row>
    <row r="102" spans="1:9" ht="12.75">
      <c r="A102" s="111"/>
      <c r="B102" s="111"/>
      <c r="C102" s="111"/>
      <c r="D102" s="115"/>
      <c r="E102" s="115" t="s">
        <v>444</v>
      </c>
      <c r="F102" s="111"/>
      <c r="G102" s="116">
        <v>604.565</v>
      </c>
      <c r="H102" s="111"/>
      <c r="I102" s="111"/>
    </row>
    <row r="103" spans="1:9" ht="12.75">
      <c r="A103" s="111"/>
      <c r="B103" s="111"/>
      <c r="C103" s="111"/>
      <c r="D103" s="115"/>
      <c r="E103" s="115" t="s">
        <v>445</v>
      </c>
      <c r="F103" s="111"/>
      <c r="G103" s="116">
        <v>42.3</v>
      </c>
      <c r="H103" s="111"/>
      <c r="I103" s="111"/>
    </row>
    <row r="104" spans="1:9" ht="12.75">
      <c r="A104" s="120" t="s">
        <v>501</v>
      </c>
      <c r="B104" s="120" t="s">
        <v>508</v>
      </c>
      <c r="C104" s="120" t="s">
        <v>509</v>
      </c>
      <c r="D104" s="121" t="s">
        <v>24</v>
      </c>
      <c r="E104" s="122" t="s">
        <v>510</v>
      </c>
      <c r="F104" s="120" t="s">
        <v>157</v>
      </c>
      <c r="G104" s="123">
        <v>1164.357</v>
      </c>
      <c r="H104" s="124"/>
      <c r="I104" s="124">
        <f>ROUND(G104*H104,2)</f>
        <v>0</v>
      </c>
    </row>
    <row r="105" spans="1:9" ht="12.75">
      <c r="A105" s="111"/>
      <c r="B105" s="111"/>
      <c r="C105" s="111"/>
      <c r="D105" s="115"/>
      <c r="E105" s="115" t="s">
        <v>446</v>
      </c>
      <c r="F105" s="111"/>
      <c r="G105" s="116">
        <v>1164.357</v>
      </c>
      <c r="H105" s="111"/>
      <c r="I105" s="111"/>
    </row>
    <row r="106" spans="1:9" ht="12.75">
      <c r="A106" s="110" t="s">
        <v>266</v>
      </c>
      <c r="B106" s="110" t="s">
        <v>489</v>
      </c>
      <c r="C106" s="110" t="s">
        <v>92</v>
      </c>
      <c r="D106" s="111" t="s">
        <v>169</v>
      </c>
      <c r="E106" s="112" t="s">
        <v>170</v>
      </c>
      <c r="F106" s="110" t="s">
        <v>129</v>
      </c>
      <c r="G106" s="113">
        <v>1077.16</v>
      </c>
      <c r="H106" s="114"/>
      <c r="I106" s="114">
        <f>ROUND(G106*H106,2)</f>
        <v>0</v>
      </c>
    </row>
    <row r="107" spans="1:9" ht="12.75">
      <c r="A107" s="111"/>
      <c r="B107" s="111"/>
      <c r="C107" s="111"/>
      <c r="D107" s="115"/>
      <c r="E107" s="115" t="s">
        <v>447</v>
      </c>
      <c r="F107" s="111"/>
      <c r="G107" s="116">
        <v>1077.16</v>
      </c>
      <c r="H107" s="111"/>
      <c r="I107" s="111"/>
    </row>
    <row r="108" spans="1:9" ht="12.75">
      <c r="A108" s="110" t="s">
        <v>502</v>
      </c>
      <c r="B108" s="110" t="s">
        <v>489</v>
      </c>
      <c r="C108" s="110" t="s">
        <v>175</v>
      </c>
      <c r="D108" s="111" t="s">
        <v>176</v>
      </c>
      <c r="E108" s="112" t="s">
        <v>177</v>
      </c>
      <c r="F108" s="110" t="s">
        <v>103</v>
      </c>
      <c r="G108" s="113">
        <v>100.06</v>
      </c>
      <c r="H108" s="114"/>
      <c r="I108" s="114">
        <f>ROUND(G108*H108,2)</f>
        <v>0</v>
      </c>
    </row>
    <row r="109" spans="1:9" ht="12.75">
      <c r="A109" s="111"/>
      <c r="B109" s="111"/>
      <c r="C109" s="111"/>
      <c r="D109" s="115"/>
      <c r="E109" s="115" t="s">
        <v>448</v>
      </c>
      <c r="F109" s="111"/>
      <c r="G109" s="116">
        <v>100.06</v>
      </c>
      <c r="H109" s="111"/>
      <c r="I109" s="111"/>
    </row>
    <row r="110" spans="1:9" ht="12.75">
      <c r="A110" s="110" t="s">
        <v>505</v>
      </c>
      <c r="B110" s="110" t="s">
        <v>489</v>
      </c>
      <c r="C110" s="110" t="s">
        <v>493</v>
      </c>
      <c r="D110" s="111" t="s">
        <v>284</v>
      </c>
      <c r="E110" s="112" t="s">
        <v>285</v>
      </c>
      <c r="F110" s="110" t="s">
        <v>103</v>
      </c>
      <c r="G110" s="113">
        <f>G112+G114+G116+G118+G120</f>
        <v>607.992</v>
      </c>
      <c r="H110" s="114"/>
      <c r="I110" s="114">
        <f>ROUND(G110*H110,2)</f>
        <v>0</v>
      </c>
    </row>
    <row r="111" spans="1:9" ht="12.75">
      <c r="A111" s="111"/>
      <c r="B111" s="111"/>
      <c r="C111" s="111"/>
      <c r="D111" s="117"/>
      <c r="E111" s="117" t="s">
        <v>605</v>
      </c>
      <c r="F111" s="111"/>
      <c r="G111" s="118"/>
      <c r="H111" s="111"/>
      <c r="I111" s="111"/>
    </row>
    <row r="112" spans="1:9" ht="12.75">
      <c r="A112" s="111"/>
      <c r="B112" s="111"/>
      <c r="C112" s="111"/>
      <c r="D112" s="115"/>
      <c r="E112" s="115" t="s">
        <v>717</v>
      </c>
      <c r="F112" s="111"/>
      <c r="G112" s="116">
        <f>(383+587)*1*2.554*0.5</f>
        <v>1238.69</v>
      </c>
      <c r="H112" s="111"/>
      <c r="I112" s="111"/>
    </row>
    <row r="113" spans="1:9" ht="12.75">
      <c r="A113" s="111"/>
      <c r="B113" s="111"/>
      <c r="C113" s="111"/>
      <c r="D113" s="117"/>
      <c r="E113" s="117" t="s">
        <v>606</v>
      </c>
      <c r="F113" s="111"/>
      <c r="G113" s="119"/>
      <c r="H113" s="111"/>
      <c r="I113" s="111"/>
    </row>
    <row r="114" spans="1:9" ht="12.75">
      <c r="A114" s="111"/>
      <c r="B114" s="111"/>
      <c r="C114" s="111"/>
      <c r="D114" s="115"/>
      <c r="E114" s="115" t="s">
        <v>449</v>
      </c>
      <c r="F114" s="111"/>
      <c r="G114" s="116">
        <v>-97</v>
      </c>
      <c r="H114" s="111"/>
      <c r="I114" s="111"/>
    </row>
    <row r="115" spans="1:9" ht="12.75">
      <c r="A115" s="111"/>
      <c r="B115" s="111"/>
      <c r="C115" s="111"/>
      <c r="D115" s="117"/>
      <c r="E115" s="117" t="s">
        <v>601</v>
      </c>
      <c r="F115" s="111"/>
      <c r="G115" s="119"/>
      <c r="H115" s="111"/>
      <c r="I115" s="111"/>
    </row>
    <row r="116" spans="1:9" ht="12.75">
      <c r="A116" s="111"/>
      <c r="B116" s="111"/>
      <c r="C116" s="111"/>
      <c r="D116" s="115"/>
      <c r="E116" s="115" t="s">
        <v>450</v>
      </c>
      <c r="F116" s="111"/>
      <c r="G116" s="116">
        <v>-630.5</v>
      </c>
      <c r="H116" s="111"/>
      <c r="I116" s="111"/>
    </row>
    <row r="117" spans="1:9" ht="12.75">
      <c r="A117" s="111"/>
      <c r="B117" s="111"/>
      <c r="C117" s="111"/>
      <c r="D117" s="117"/>
      <c r="E117" s="117" t="s">
        <v>603</v>
      </c>
      <c r="F117" s="111"/>
      <c r="G117" s="119"/>
      <c r="H117" s="111"/>
      <c r="I117" s="111"/>
    </row>
    <row r="118" spans="1:9" ht="12.75">
      <c r="A118" s="111"/>
      <c r="B118" s="111"/>
      <c r="C118" s="111"/>
      <c r="D118" s="115"/>
      <c r="E118" s="115" t="s">
        <v>451</v>
      </c>
      <c r="F118" s="111"/>
      <c r="G118" s="116">
        <v>-97.66</v>
      </c>
      <c r="H118" s="111"/>
      <c r="I118" s="111"/>
    </row>
    <row r="119" spans="1:9" ht="12.75">
      <c r="A119" s="111"/>
      <c r="B119" s="111"/>
      <c r="C119" s="111"/>
      <c r="D119" s="117"/>
      <c r="E119" s="117" t="s">
        <v>593</v>
      </c>
      <c r="F119" s="111"/>
      <c r="G119" s="119"/>
      <c r="H119" s="111"/>
      <c r="I119" s="111"/>
    </row>
    <row r="120" spans="1:9" ht="12.75">
      <c r="A120" s="111"/>
      <c r="B120" s="111"/>
      <c r="C120" s="111"/>
      <c r="D120" s="115"/>
      <c r="E120" s="115" t="s">
        <v>452</v>
      </c>
      <c r="F120" s="111"/>
      <c r="G120" s="116">
        <v>194.462</v>
      </c>
      <c r="H120" s="111"/>
      <c r="I120" s="111"/>
    </row>
    <row r="121" spans="1:9" ht="12.75">
      <c r="A121" s="106"/>
      <c r="B121" s="107" t="s">
        <v>488</v>
      </c>
      <c r="C121" s="106"/>
      <c r="D121" s="108" t="s">
        <v>36</v>
      </c>
      <c r="E121" s="108" t="s">
        <v>209</v>
      </c>
      <c r="F121" s="106"/>
      <c r="G121" s="106"/>
      <c r="H121" s="106"/>
      <c r="I121" s="109">
        <f>I122</f>
        <v>0</v>
      </c>
    </row>
    <row r="122" spans="1:9" ht="12.75">
      <c r="A122" s="110" t="s">
        <v>506</v>
      </c>
      <c r="B122" s="110" t="s">
        <v>489</v>
      </c>
      <c r="C122" s="110" t="s">
        <v>175</v>
      </c>
      <c r="D122" s="111" t="s">
        <v>210</v>
      </c>
      <c r="E122" s="112" t="s">
        <v>211</v>
      </c>
      <c r="F122" s="110" t="s">
        <v>75</v>
      </c>
      <c r="G122" s="113">
        <v>1000.6</v>
      </c>
      <c r="H122" s="114"/>
      <c r="I122" s="114">
        <f>ROUND(G122*H122,2)</f>
        <v>0</v>
      </c>
    </row>
    <row r="123" spans="1:9" ht="12.75">
      <c r="A123" s="106"/>
      <c r="B123" s="107" t="s">
        <v>488</v>
      </c>
      <c r="C123" s="106"/>
      <c r="D123" s="108" t="s">
        <v>86</v>
      </c>
      <c r="E123" s="108" t="s">
        <v>212</v>
      </c>
      <c r="F123" s="106"/>
      <c r="G123" s="106"/>
      <c r="H123" s="106"/>
      <c r="I123" s="109">
        <f>SUM(I124:I128)</f>
        <v>0</v>
      </c>
    </row>
    <row r="124" spans="1:9" ht="12.75">
      <c r="A124" s="110" t="s">
        <v>507</v>
      </c>
      <c r="B124" s="110" t="s">
        <v>489</v>
      </c>
      <c r="C124" s="110" t="s">
        <v>213</v>
      </c>
      <c r="D124" s="111" t="s">
        <v>221</v>
      </c>
      <c r="E124" s="112" t="s">
        <v>222</v>
      </c>
      <c r="F124" s="110" t="s">
        <v>129</v>
      </c>
      <c r="G124" s="113">
        <v>17.4</v>
      </c>
      <c r="H124" s="114"/>
      <c r="I124" s="114">
        <f>ROUND(G124*H124,2)</f>
        <v>0</v>
      </c>
    </row>
    <row r="125" spans="1:9" ht="12.75">
      <c r="A125" s="111"/>
      <c r="B125" s="111"/>
      <c r="C125" s="111"/>
      <c r="D125" s="115"/>
      <c r="E125" s="115" t="s">
        <v>453</v>
      </c>
      <c r="F125" s="111"/>
      <c r="G125" s="116">
        <v>17.4</v>
      </c>
      <c r="H125" s="111"/>
      <c r="I125" s="111"/>
    </row>
    <row r="126" spans="1:9" ht="12.75">
      <c r="A126" s="110" t="s">
        <v>511</v>
      </c>
      <c r="B126" s="110" t="s">
        <v>489</v>
      </c>
      <c r="C126" s="110" t="s">
        <v>213</v>
      </c>
      <c r="D126" s="111" t="s">
        <v>223</v>
      </c>
      <c r="E126" s="112" t="s">
        <v>224</v>
      </c>
      <c r="F126" s="110" t="s">
        <v>129</v>
      </c>
      <c r="G126" s="113">
        <v>17.4</v>
      </c>
      <c r="H126" s="114"/>
      <c r="I126" s="114">
        <f>ROUND(G126*H126,2)</f>
        <v>0</v>
      </c>
    </row>
    <row r="127" spans="1:9" ht="12.75">
      <c r="A127" s="110" t="s">
        <v>512</v>
      </c>
      <c r="B127" s="110" t="s">
        <v>489</v>
      </c>
      <c r="C127" s="110" t="s">
        <v>175</v>
      </c>
      <c r="D127" s="111" t="s">
        <v>218</v>
      </c>
      <c r="E127" s="112" t="s">
        <v>291</v>
      </c>
      <c r="F127" s="110" t="s">
        <v>103</v>
      </c>
      <c r="G127" s="113">
        <v>4.462</v>
      </c>
      <c r="H127" s="114"/>
      <c r="I127" s="114">
        <f>ROUND(G127*H127,2)</f>
        <v>0</v>
      </c>
    </row>
    <row r="128" spans="1:9" ht="12.75">
      <c r="A128" s="111"/>
      <c r="B128" s="111"/>
      <c r="C128" s="111"/>
      <c r="D128" s="115"/>
      <c r="E128" s="115" t="s">
        <v>454</v>
      </c>
      <c r="F128" s="111"/>
      <c r="G128" s="116">
        <v>4.462</v>
      </c>
      <c r="H128" s="111"/>
      <c r="I128" s="111"/>
    </row>
    <row r="129" spans="1:9" ht="12.75">
      <c r="A129" s="106"/>
      <c r="B129" s="107" t="s">
        <v>488</v>
      </c>
      <c r="C129" s="106"/>
      <c r="D129" s="108" t="s">
        <v>87</v>
      </c>
      <c r="E129" s="108" t="s">
        <v>294</v>
      </c>
      <c r="F129" s="106"/>
      <c r="G129" s="106"/>
      <c r="H129" s="106"/>
      <c r="I129" s="109">
        <f>SUM(I130:I248)</f>
        <v>0</v>
      </c>
    </row>
    <row r="130" spans="1:9" ht="12.75">
      <c r="A130" s="110" t="s">
        <v>513</v>
      </c>
      <c r="B130" s="110" t="s">
        <v>489</v>
      </c>
      <c r="C130" s="110" t="s">
        <v>295</v>
      </c>
      <c r="D130" s="111" t="s">
        <v>299</v>
      </c>
      <c r="E130" s="112" t="s">
        <v>300</v>
      </c>
      <c r="F130" s="110" t="s">
        <v>129</v>
      </c>
      <c r="G130" s="113">
        <f>G133+G135+G137+G139+G141</f>
        <v>496.44</v>
      </c>
      <c r="H130" s="114"/>
      <c r="I130" s="114">
        <f>ROUND(G130*H130,2)</f>
        <v>0</v>
      </c>
    </row>
    <row r="131" spans="1:9" ht="12.75">
      <c r="A131" s="111"/>
      <c r="B131" s="111"/>
      <c r="C131" s="111"/>
      <c r="D131" s="117"/>
      <c r="E131" s="117" t="s">
        <v>579</v>
      </c>
      <c r="F131" s="111"/>
      <c r="G131" s="118"/>
      <c r="H131" s="111"/>
      <c r="I131" s="111"/>
    </row>
    <row r="132" spans="1:9" ht="12.75">
      <c r="A132" s="111"/>
      <c r="B132" s="111"/>
      <c r="C132" s="111"/>
      <c r="D132" s="117"/>
      <c r="E132" s="117" t="s">
        <v>612</v>
      </c>
      <c r="F132" s="111"/>
      <c r="G132" s="118"/>
      <c r="H132" s="111"/>
      <c r="I132" s="111"/>
    </row>
    <row r="133" spans="1:9" ht="12.75">
      <c r="A133" s="111"/>
      <c r="B133" s="111"/>
      <c r="C133" s="111"/>
      <c r="D133" s="115"/>
      <c r="E133" s="115" t="s">
        <v>720</v>
      </c>
      <c r="F133" s="111"/>
      <c r="G133" s="116">
        <f>16*1.2+(2.4*1.2)*2</f>
        <v>24.96</v>
      </c>
      <c r="H133" s="111"/>
      <c r="I133" s="111"/>
    </row>
    <row r="134" spans="1:9" ht="12.75">
      <c r="A134" s="111"/>
      <c r="B134" s="111"/>
      <c r="C134" s="111"/>
      <c r="D134" s="117"/>
      <c r="E134" s="117" t="s">
        <v>613</v>
      </c>
      <c r="F134" s="111"/>
      <c r="G134" s="119"/>
      <c r="H134" s="111"/>
      <c r="I134" s="111"/>
    </row>
    <row r="135" spans="1:9" ht="12.75">
      <c r="A135" s="111"/>
      <c r="B135" s="111"/>
      <c r="C135" s="111"/>
      <c r="D135" s="115"/>
      <c r="E135" s="115" t="s">
        <v>721</v>
      </c>
      <c r="F135" s="111"/>
      <c r="G135" s="116">
        <f>126*1.2+(2.4*1.2)*4</f>
        <v>162.72</v>
      </c>
      <c r="H135" s="111"/>
      <c r="I135" s="111"/>
    </row>
    <row r="136" spans="1:9" ht="12.75">
      <c r="A136" s="111"/>
      <c r="B136" s="111"/>
      <c r="C136" s="111"/>
      <c r="D136" s="117"/>
      <c r="E136" s="117" t="s">
        <v>622</v>
      </c>
      <c r="F136" s="111"/>
      <c r="G136" s="119"/>
      <c r="H136" s="111"/>
      <c r="I136" s="111"/>
    </row>
    <row r="137" spans="1:9" ht="12.75">
      <c r="A137" s="111"/>
      <c r="B137" s="111"/>
      <c r="C137" s="111"/>
      <c r="D137" s="115"/>
      <c r="E137" s="115" t="s">
        <v>722</v>
      </c>
      <c r="F137" s="111"/>
      <c r="G137" s="116">
        <f>70.5*1.2+(2.4*1.2)*2</f>
        <v>90.36</v>
      </c>
      <c r="H137" s="111"/>
      <c r="I137" s="111"/>
    </row>
    <row r="138" spans="1:9" ht="12.75">
      <c r="A138" s="111"/>
      <c r="B138" s="111"/>
      <c r="C138" s="111"/>
      <c r="D138" s="117"/>
      <c r="E138" s="117" t="s">
        <v>615</v>
      </c>
      <c r="F138" s="111"/>
      <c r="G138" s="119"/>
      <c r="H138" s="111"/>
      <c r="I138" s="111"/>
    </row>
    <row r="139" spans="1:9" ht="12.75">
      <c r="A139" s="111"/>
      <c r="B139" s="111"/>
      <c r="C139" s="111"/>
      <c r="D139" s="115"/>
      <c r="E139" s="115" t="s">
        <v>723</v>
      </c>
      <c r="F139" s="111"/>
      <c r="G139" s="116">
        <f>120*1.2+(2.4*1.2)*4</f>
        <v>155.52</v>
      </c>
      <c r="H139" s="111"/>
      <c r="I139" s="111"/>
    </row>
    <row r="140" spans="1:9" ht="12.75">
      <c r="A140" s="111"/>
      <c r="B140" s="111"/>
      <c r="C140" s="111"/>
      <c r="D140" s="117"/>
      <c r="E140" s="117" t="s">
        <v>616</v>
      </c>
      <c r="F140" s="111"/>
      <c r="G140" s="119"/>
      <c r="H140" s="111"/>
      <c r="I140" s="111"/>
    </row>
    <row r="141" spans="1:9" ht="12.75">
      <c r="A141" s="111"/>
      <c r="B141" s="111"/>
      <c r="C141" s="111"/>
      <c r="D141" s="115"/>
      <c r="E141" s="115" t="s">
        <v>724</v>
      </c>
      <c r="F141" s="111"/>
      <c r="G141" s="116">
        <f>50*1.2+(2.4*1.2)*1</f>
        <v>62.88</v>
      </c>
      <c r="H141" s="111"/>
      <c r="I141" s="111"/>
    </row>
    <row r="142" spans="1:9" ht="12.75">
      <c r="A142" s="110" t="s">
        <v>516</v>
      </c>
      <c r="B142" s="110" t="s">
        <v>489</v>
      </c>
      <c r="C142" s="110" t="s">
        <v>295</v>
      </c>
      <c r="D142" s="111" t="s">
        <v>302</v>
      </c>
      <c r="E142" s="112" t="s">
        <v>303</v>
      </c>
      <c r="F142" s="110" t="s">
        <v>129</v>
      </c>
      <c r="G142" s="113">
        <f>G144</f>
        <v>496.44</v>
      </c>
      <c r="H142" s="114"/>
      <c r="I142" s="114">
        <f>ROUND(G142*H142,2)</f>
        <v>0</v>
      </c>
    </row>
    <row r="143" spans="1:9" ht="12.75">
      <c r="A143" s="111"/>
      <c r="B143" s="111"/>
      <c r="C143" s="111"/>
      <c r="D143" s="117"/>
      <c r="E143" s="117" t="s">
        <v>307</v>
      </c>
      <c r="F143" s="111"/>
      <c r="G143" s="118"/>
      <c r="H143" s="111"/>
      <c r="I143" s="111"/>
    </row>
    <row r="144" spans="1:9" ht="12.75">
      <c r="A144" s="111"/>
      <c r="B144" s="111"/>
      <c r="C144" s="111"/>
      <c r="D144" s="115"/>
      <c r="E144" s="115">
        <v>496.44</v>
      </c>
      <c r="F144" s="111"/>
      <c r="G144" s="116">
        <f>G130</f>
        <v>496.44</v>
      </c>
      <c r="H144" s="111"/>
      <c r="I144" s="111"/>
    </row>
    <row r="145" spans="1:9" ht="12.75">
      <c r="A145" s="110" t="s">
        <v>518</v>
      </c>
      <c r="B145" s="110" t="s">
        <v>489</v>
      </c>
      <c r="C145" s="110" t="s">
        <v>295</v>
      </c>
      <c r="D145" s="111" t="s">
        <v>306</v>
      </c>
      <c r="E145" s="112" t="s">
        <v>379</v>
      </c>
      <c r="F145" s="110" t="s">
        <v>129</v>
      </c>
      <c r="G145" s="113">
        <f>G148+G150+G152+G154+G156+G159+G161+G163</f>
        <v>1287.12</v>
      </c>
      <c r="H145" s="114"/>
      <c r="I145" s="114">
        <f>ROUND(G145*H145,2)</f>
        <v>0</v>
      </c>
    </row>
    <row r="146" spans="1:9" ht="12.75">
      <c r="A146" s="111"/>
      <c r="B146" s="111"/>
      <c r="C146" s="111"/>
      <c r="D146" s="117"/>
      <c r="E146" s="117" t="s">
        <v>579</v>
      </c>
      <c r="F146" s="111"/>
      <c r="G146" s="118"/>
      <c r="H146" s="111"/>
      <c r="I146" s="111"/>
    </row>
    <row r="147" spans="1:9" ht="12.75">
      <c r="A147" s="111"/>
      <c r="B147" s="111"/>
      <c r="C147" s="111"/>
      <c r="D147" s="117"/>
      <c r="E147" s="117" t="s">
        <v>612</v>
      </c>
      <c r="F147" s="111"/>
      <c r="G147" s="118"/>
      <c r="H147" s="111"/>
      <c r="I147" s="111"/>
    </row>
    <row r="148" spans="1:9" ht="12.75">
      <c r="A148" s="111"/>
      <c r="B148" s="111"/>
      <c r="C148" s="111"/>
      <c r="D148" s="115"/>
      <c r="E148" s="115" t="s">
        <v>720</v>
      </c>
      <c r="F148" s="111"/>
      <c r="G148" s="116">
        <f>16*1.2+(2.4*1.2)*2</f>
        <v>24.96</v>
      </c>
      <c r="H148" s="111"/>
      <c r="I148" s="111"/>
    </row>
    <row r="149" spans="1:9" ht="12.75">
      <c r="A149" s="111"/>
      <c r="B149" s="111"/>
      <c r="C149" s="111"/>
      <c r="D149" s="117"/>
      <c r="E149" s="117" t="s">
        <v>613</v>
      </c>
      <c r="F149" s="111"/>
      <c r="G149" s="119"/>
      <c r="H149" s="111"/>
      <c r="I149" s="111"/>
    </row>
    <row r="150" spans="1:9" ht="12.75">
      <c r="A150" s="111"/>
      <c r="B150" s="111"/>
      <c r="C150" s="111"/>
      <c r="D150" s="115"/>
      <c r="E150" s="115" t="s">
        <v>721</v>
      </c>
      <c r="F150" s="111"/>
      <c r="G150" s="116">
        <f>126*1.2+(2.4*1.2)*4</f>
        <v>162.72</v>
      </c>
      <c r="H150" s="111"/>
      <c r="I150" s="111"/>
    </row>
    <row r="151" spans="1:9" ht="12.75">
      <c r="A151" s="111"/>
      <c r="B151" s="111"/>
      <c r="C151" s="111"/>
      <c r="D151" s="117"/>
      <c r="E151" s="117" t="s">
        <v>622</v>
      </c>
      <c r="F151" s="111"/>
      <c r="G151" s="119"/>
      <c r="H151" s="111"/>
      <c r="I151" s="111"/>
    </row>
    <row r="152" spans="1:9" ht="12.75">
      <c r="A152" s="111"/>
      <c r="B152" s="111"/>
      <c r="C152" s="111"/>
      <c r="D152" s="115"/>
      <c r="E152" s="115" t="s">
        <v>722</v>
      </c>
      <c r="F152" s="111"/>
      <c r="G152" s="116">
        <f>70.5*1.2+(2.4*1.2)*2</f>
        <v>90.36</v>
      </c>
      <c r="H152" s="111"/>
      <c r="I152" s="111"/>
    </row>
    <row r="153" spans="1:9" ht="12.75">
      <c r="A153" s="111"/>
      <c r="B153" s="111"/>
      <c r="C153" s="111"/>
      <c r="D153" s="117"/>
      <c r="E153" s="117" t="s">
        <v>615</v>
      </c>
      <c r="F153" s="111"/>
      <c r="G153" s="119"/>
      <c r="H153" s="111"/>
      <c r="I153" s="111"/>
    </row>
    <row r="154" spans="1:9" ht="12.75">
      <c r="A154" s="111"/>
      <c r="B154" s="111"/>
      <c r="C154" s="111"/>
      <c r="D154" s="115"/>
      <c r="E154" s="115" t="s">
        <v>723</v>
      </c>
      <c r="F154" s="111"/>
      <c r="G154" s="116">
        <f>120*1.2+(2.4*1.2)*4</f>
        <v>155.52</v>
      </c>
      <c r="H154" s="111"/>
      <c r="I154" s="111"/>
    </row>
    <row r="155" spans="1:9" ht="12.75">
      <c r="A155" s="111"/>
      <c r="B155" s="111"/>
      <c r="C155" s="111"/>
      <c r="D155" s="117"/>
      <c r="E155" s="117" t="s">
        <v>616</v>
      </c>
      <c r="F155" s="111"/>
      <c r="G155" s="119"/>
      <c r="H155" s="111"/>
      <c r="I155" s="111"/>
    </row>
    <row r="156" spans="1:9" ht="12.75">
      <c r="A156" s="111"/>
      <c r="B156" s="111"/>
      <c r="C156" s="111"/>
      <c r="D156" s="115"/>
      <c r="E156" s="115" t="s">
        <v>724</v>
      </c>
      <c r="F156" s="111"/>
      <c r="G156" s="116">
        <f>50*1.2+(2.4*1.2)*1</f>
        <v>62.88</v>
      </c>
      <c r="H156" s="111"/>
      <c r="I156" s="111"/>
    </row>
    <row r="157" spans="1:9" ht="12.75">
      <c r="A157" s="111"/>
      <c r="B157" s="111"/>
      <c r="C157" s="111"/>
      <c r="D157" s="117"/>
      <c r="E157" s="117" t="s">
        <v>608</v>
      </c>
      <c r="F157" s="111"/>
      <c r="G157" s="119"/>
      <c r="H157" s="111"/>
      <c r="I157" s="111"/>
    </row>
    <row r="158" spans="1:9" ht="12.75">
      <c r="A158" s="111"/>
      <c r="B158" s="111"/>
      <c r="C158" s="111"/>
      <c r="D158" s="117"/>
      <c r="E158" s="117" t="s">
        <v>612</v>
      </c>
      <c r="F158" s="111"/>
      <c r="G158" s="119"/>
      <c r="H158" s="111"/>
      <c r="I158" s="111"/>
    </row>
    <row r="159" spans="1:9" ht="12.75">
      <c r="A159" s="111"/>
      <c r="B159" s="111"/>
      <c r="C159" s="111"/>
      <c r="D159" s="115"/>
      <c r="E159" s="115" t="s">
        <v>727</v>
      </c>
      <c r="F159" s="111"/>
      <c r="G159" s="116">
        <f>308.8*1.2+(2.4*1.2)*10</f>
        <v>399.36</v>
      </c>
      <c r="H159" s="111"/>
      <c r="I159" s="111"/>
    </row>
    <row r="160" spans="1:9" ht="12.75">
      <c r="A160" s="111"/>
      <c r="B160" s="111"/>
      <c r="C160" s="111"/>
      <c r="D160" s="117"/>
      <c r="E160" s="117" t="s">
        <v>613</v>
      </c>
      <c r="F160" s="111"/>
      <c r="G160" s="119"/>
      <c r="H160" s="111"/>
      <c r="I160" s="111"/>
    </row>
    <row r="161" spans="1:9" ht="12.75">
      <c r="A161" s="111"/>
      <c r="B161" s="111"/>
      <c r="C161" s="111"/>
      <c r="D161" s="115"/>
      <c r="E161" s="115" t="s">
        <v>726</v>
      </c>
      <c r="F161" s="111"/>
      <c r="G161" s="116">
        <f>215.3*1.2+(2.4*1.2)*6</f>
        <v>275.64</v>
      </c>
      <c r="H161" s="111"/>
      <c r="I161" s="111"/>
    </row>
    <row r="162" spans="1:9" ht="12.75">
      <c r="A162" s="111"/>
      <c r="B162" s="111"/>
      <c r="C162" s="111"/>
      <c r="D162" s="117"/>
      <c r="E162" s="117" t="s">
        <v>615</v>
      </c>
      <c r="F162" s="111"/>
      <c r="G162" s="119"/>
      <c r="H162" s="111"/>
      <c r="I162" s="111"/>
    </row>
    <row r="163" spans="1:9" ht="12.75">
      <c r="A163" s="111"/>
      <c r="B163" s="111"/>
      <c r="C163" s="111"/>
      <c r="D163" s="115"/>
      <c r="E163" s="115" t="s">
        <v>725</v>
      </c>
      <c r="F163" s="111"/>
      <c r="G163" s="116">
        <f>94*1.2+(2.4*1.2)*1</f>
        <v>115.68</v>
      </c>
      <c r="H163" s="111"/>
      <c r="I163" s="111"/>
    </row>
    <row r="164" spans="1:9" ht="12.75">
      <c r="A164" s="110" t="s">
        <v>232</v>
      </c>
      <c r="B164" s="110" t="s">
        <v>489</v>
      </c>
      <c r="C164" s="110" t="s">
        <v>295</v>
      </c>
      <c r="D164" s="111" t="s">
        <v>311</v>
      </c>
      <c r="E164" s="112" t="s">
        <v>312</v>
      </c>
      <c r="F164" s="110" t="s">
        <v>129</v>
      </c>
      <c r="G164" s="113">
        <f>G166</f>
        <v>1287.12</v>
      </c>
      <c r="H164" s="114"/>
      <c r="I164" s="114">
        <f>ROUND(G164*H164,2)</f>
        <v>0</v>
      </c>
    </row>
    <row r="165" spans="1:9" ht="12.75">
      <c r="A165" s="111"/>
      <c r="B165" s="111"/>
      <c r="C165" s="111"/>
      <c r="D165" s="117"/>
      <c r="E165" s="117" t="s">
        <v>313</v>
      </c>
      <c r="F165" s="111"/>
      <c r="G165" s="118"/>
      <c r="H165" s="111"/>
      <c r="I165" s="111"/>
    </row>
    <row r="166" spans="1:9" ht="12.75">
      <c r="A166" s="111"/>
      <c r="B166" s="111"/>
      <c r="C166" s="111"/>
      <c r="D166" s="115"/>
      <c r="E166" s="115">
        <v>1287.12</v>
      </c>
      <c r="F166" s="111"/>
      <c r="G166" s="116">
        <f>G145</f>
        <v>1287.12</v>
      </c>
      <c r="H166" s="111"/>
      <c r="I166" s="111"/>
    </row>
    <row r="167" spans="1:9" ht="12.75">
      <c r="A167" s="110" t="s">
        <v>521</v>
      </c>
      <c r="B167" s="110" t="s">
        <v>489</v>
      </c>
      <c r="C167" s="110" t="s">
        <v>295</v>
      </c>
      <c r="D167" s="111" t="s">
        <v>350</v>
      </c>
      <c r="E167" s="112" t="s">
        <v>351</v>
      </c>
      <c r="F167" s="110" t="s">
        <v>129</v>
      </c>
      <c r="G167" s="113">
        <v>1340.5</v>
      </c>
      <c r="H167" s="114"/>
      <c r="I167" s="114">
        <f>ROUND(G167*H167,2)</f>
        <v>0</v>
      </c>
    </row>
    <row r="168" spans="1:9" ht="12.75">
      <c r="A168" s="111"/>
      <c r="B168" s="111"/>
      <c r="C168" s="111"/>
      <c r="D168" s="117"/>
      <c r="E168" s="117" t="s">
        <v>307</v>
      </c>
      <c r="F168" s="111"/>
      <c r="G168" s="118"/>
      <c r="H168" s="111"/>
      <c r="I168" s="111"/>
    </row>
    <row r="169" spans="1:9" ht="12.75">
      <c r="A169" s="111"/>
      <c r="B169" s="111"/>
      <c r="C169" s="111"/>
      <c r="D169" s="115"/>
      <c r="E169" s="115" t="s">
        <v>455</v>
      </c>
      <c r="F169" s="111"/>
      <c r="G169" s="116">
        <v>1340.5</v>
      </c>
      <c r="H169" s="111"/>
      <c r="I169" s="111"/>
    </row>
    <row r="170" spans="1:9" ht="12.75">
      <c r="A170" s="110" t="s">
        <v>234</v>
      </c>
      <c r="B170" s="110" t="s">
        <v>489</v>
      </c>
      <c r="C170" s="110" t="s">
        <v>92</v>
      </c>
      <c r="D170" s="111" t="s">
        <v>155</v>
      </c>
      <c r="E170" s="112" t="s">
        <v>156</v>
      </c>
      <c r="F170" s="110" t="s">
        <v>157</v>
      </c>
      <c r="G170" s="113">
        <v>433.554</v>
      </c>
      <c r="H170" s="114"/>
      <c r="I170" s="114">
        <f>ROUND(G170*H170,2)</f>
        <v>0</v>
      </c>
    </row>
    <row r="171" spans="1:9" ht="12.75">
      <c r="A171" s="111"/>
      <c r="B171" s="111"/>
      <c r="C171" s="111"/>
      <c r="D171" s="115"/>
      <c r="E171" s="115" t="s">
        <v>456</v>
      </c>
      <c r="F171" s="111"/>
      <c r="G171" s="116">
        <v>433.554</v>
      </c>
      <c r="H171" s="111"/>
      <c r="I171" s="111"/>
    </row>
    <row r="172" spans="1:9" ht="12.75">
      <c r="A172" s="110" t="s">
        <v>523</v>
      </c>
      <c r="B172" s="110" t="s">
        <v>489</v>
      </c>
      <c r="C172" s="110" t="s">
        <v>493</v>
      </c>
      <c r="D172" s="111" t="s">
        <v>321</v>
      </c>
      <c r="E172" s="112" t="s">
        <v>322</v>
      </c>
      <c r="F172" s="110" t="s">
        <v>157</v>
      </c>
      <c r="G172" s="113">
        <v>533.385</v>
      </c>
      <c r="H172" s="114"/>
      <c r="I172" s="114">
        <f>ROUND(G172*H172,2)</f>
        <v>0</v>
      </c>
    </row>
    <row r="173" spans="1:9" ht="12.75">
      <c r="A173" s="111"/>
      <c r="B173" s="111"/>
      <c r="C173" s="111"/>
      <c r="D173" s="115"/>
      <c r="E173" s="115" t="s">
        <v>457</v>
      </c>
      <c r="F173" s="111"/>
      <c r="G173" s="116">
        <v>533.385</v>
      </c>
      <c r="H173" s="111"/>
      <c r="I173" s="111"/>
    </row>
    <row r="174" spans="1:9" ht="12.75">
      <c r="A174" s="110" t="s">
        <v>236</v>
      </c>
      <c r="B174" s="110" t="s">
        <v>489</v>
      </c>
      <c r="C174" s="110" t="s">
        <v>295</v>
      </c>
      <c r="D174" s="111" t="s">
        <v>326</v>
      </c>
      <c r="E174" s="112" t="s">
        <v>327</v>
      </c>
      <c r="F174" s="110" t="s">
        <v>129</v>
      </c>
      <c r="G174" s="113">
        <f>G177+G179+G181</f>
        <v>790.68</v>
      </c>
      <c r="H174" s="114"/>
      <c r="I174" s="114">
        <f>ROUND(G174*H174,2)</f>
        <v>0</v>
      </c>
    </row>
    <row r="175" spans="1:9" ht="12.75">
      <c r="A175" s="111"/>
      <c r="B175" s="111"/>
      <c r="C175" s="111"/>
      <c r="D175" s="117"/>
      <c r="E175" s="117" t="s">
        <v>608</v>
      </c>
      <c r="F175" s="111"/>
      <c r="G175" s="118"/>
      <c r="H175" s="111"/>
      <c r="I175" s="111"/>
    </row>
    <row r="176" spans="1:9" ht="12.75">
      <c r="A176" s="111"/>
      <c r="B176" s="111"/>
      <c r="C176" s="111"/>
      <c r="D176" s="117"/>
      <c r="E176" s="117" t="s">
        <v>612</v>
      </c>
      <c r="F176" s="111"/>
      <c r="G176" s="118"/>
      <c r="H176" s="111"/>
      <c r="I176" s="111"/>
    </row>
    <row r="177" spans="1:9" ht="12.75">
      <c r="A177" s="111"/>
      <c r="B177" s="111"/>
      <c r="C177" s="111"/>
      <c r="D177" s="115"/>
      <c r="E177" s="115" t="s">
        <v>727</v>
      </c>
      <c r="F177" s="111"/>
      <c r="G177" s="116">
        <f>308.8*1.2+(2.4*1.2)*10</f>
        <v>399.36</v>
      </c>
      <c r="H177" s="111"/>
      <c r="I177" s="111"/>
    </row>
    <row r="178" spans="1:9" ht="12.75">
      <c r="A178" s="111"/>
      <c r="B178" s="111"/>
      <c r="C178" s="111"/>
      <c r="D178" s="117"/>
      <c r="E178" s="117" t="s">
        <v>613</v>
      </c>
      <c r="F178" s="111"/>
      <c r="G178" s="119"/>
      <c r="H178" s="111"/>
      <c r="I178" s="111"/>
    </row>
    <row r="179" spans="1:9" ht="12.75">
      <c r="A179" s="111"/>
      <c r="B179" s="111"/>
      <c r="C179" s="111"/>
      <c r="D179" s="115"/>
      <c r="E179" s="115" t="s">
        <v>726</v>
      </c>
      <c r="F179" s="111"/>
      <c r="G179" s="116">
        <f>215.3*1.2+(2.4*1.2)*6</f>
        <v>275.64</v>
      </c>
      <c r="H179" s="111"/>
      <c r="I179" s="111"/>
    </row>
    <row r="180" spans="1:9" ht="12.75">
      <c r="A180" s="111"/>
      <c r="B180" s="111"/>
      <c r="C180" s="111"/>
      <c r="D180" s="117"/>
      <c r="E180" s="117" t="s">
        <v>615</v>
      </c>
      <c r="F180" s="111"/>
      <c r="G180" s="119"/>
      <c r="H180" s="111"/>
      <c r="I180" s="111"/>
    </row>
    <row r="181" spans="1:9" ht="12.75">
      <c r="A181" s="111"/>
      <c r="B181" s="111"/>
      <c r="C181" s="111"/>
      <c r="D181" s="115"/>
      <c r="E181" s="115" t="s">
        <v>725</v>
      </c>
      <c r="F181" s="111"/>
      <c r="G181" s="116">
        <f>94*1.2+(2.4*1.2)*1</f>
        <v>115.68</v>
      </c>
      <c r="H181" s="111"/>
      <c r="I181" s="111"/>
    </row>
    <row r="182" spans="1:9" ht="12.75">
      <c r="A182" s="110" t="s">
        <v>524</v>
      </c>
      <c r="B182" s="110" t="s">
        <v>489</v>
      </c>
      <c r="C182" s="110" t="s">
        <v>295</v>
      </c>
      <c r="D182" s="111" t="s">
        <v>329</v>
      </c>
      <c r="E182" s="112" t="s">
        <v>330</v>
      </c>
      <c r="F182" s="110" t="s">
        <v>129</v>
      </c>
      <c r="G182" s="113">
        <f>G184</f>
        <v>790.68</v>
      </c>
      <c r="H182" s="114"/>
      <c r="I182" s="114">
        <f>ROUND(G182*H182,2)</f>
        <v>0</v>
      </c>
    </row>
    <row r="183" spans="1:9" ht="12.75">
      <c r="A183" s="111"/>
      <c r="B183" s="111"/>
      <c r="C183" s="111"/>
      <c r="D183" s="117"/>
      <c r="E183" s="117" t="s">
        <v>608</v>
      </c>
      <c r="F183" s="111"/>
      <c r="G183" s="118"/>
      <c r="H183" s="111"/>
      <c r="I183" s="111"/>
    </row>
    <row r="184" spans="1:9" ht="12.75">
      <c r="A184" s="111"/>
      <c r="B184" s="111"/>
      <c r="C184" s="111"/>
      <c r="D184" s="115"/>
      <c r="E184" s="115">
        <v>790.68</v>
      </c>
      <c r="F184" s="111"/>
      <c r="G184" s="116">
        <f>G174</f>
        <v>790.68</v>
      </c>
      <c r="H184" s="111"/>
      <c r="I184" s="111"/>
    </row>
    <row r="185" spans="1:9" ht="12.75">
      <c r="A185" s="110" t="s">
        <v>289</v>
      </c>
      <c r="B185" s="110" t="s">
        <v>489</v>
      </c>
      <c r="C185" s="110" t="s">
        <v>295</v>
      </c>
      <c r="D185" s="111" t="s">
        <v>325</v>
      </c>
      <c r="E185" s="112" t="s">
        <v>380</v>
      </c>
      <c r="F185" s="110" t="s">
        <v>129</v>
      </c>
      <c r="G185" s="113">
        <f>G188+G190+G192+G194+G196</f>
        <v>496.44</v>
      </c>
      <c r="H185" s="114"/>
      <c r="I185" s="114">
        <f>ROUND(G185*H185,2)</f>
        <v>0</v>
      </c>
    </row>
    <row r="186" spans="1:9" ht="12.75">
      <c r="A186" s="111"/>
      <c r="B186" s="111"/>
      <c r="C186" s="111"/>
      <c r="D186" s="117"/>
      <c r="E186" s="117" t="s">
        <v>579</v>
      </c>
      <c r="F186" s="111"/>
      <c r="G186" s="118"/>
      <c r="H186" s="111"/>
      <c r="I186" s="111"/>
    </row>
    <row r="187" spans="1:9" ht="12.75">
      <c r="A187" s="111"/>
      <c r="B187" s="111"/>
      <c r="C187" s="111"/>
      <c r="D187" s="117"/>
      <c r="E187" s="117" t="s">
        <v>612</v>
      </c>
      <c r="F187" s="111"/>
      <c r="G187" s="118"/>
      <c r="H187" s="111"/>
      <c r="I187" s="111"/>
    </row>
    <row r="188" spans="1:9" ht="12.75">
      <c r="A188" s="111"/>
      <c r="B188" s="111"/>
      <c r="C188" s="111"/>
      <c r="D188" s="115"/>
      <c r="E188" s="115" t="s">
        <v>720</v>
      </c>
      <c r="F188" s="111"/>
      <c r="G188" s="116">
        <f>16*1.2+(2.4*1.2)*2</f>
        <v>24.96</v>
      </c>
      <c r="H188" s="111"/>
      <c r="I188" s="111"/>
    </row>
    <row r="189" spans="1:9" ht="12.75">
      <c r="A189" s="111"/>
      <c r="B189" s="111"/>
      <c r="C189" s="111"/>
      <c r="D189" s="117"/>
      <c r="E189" s="117" t="s">
        <v>613</v>
      </c>
      <c r="F189" s="111"/>
      <c r="G189" s="119"/>
      <c r="H189" s="111"/>
      <c r="I189" s="111"/>
    </row>
    <row r="190" spans="1:9" ht="12.75">
      <c r="A190" s="111"/>
      <c r="B190" s="111"/>
      <c r="C190" s="111"/>
      <c r="D190" s="115"/>
      <c r="E190" s="115" t="s">
        <v>721</v>
      </c>
      <c r="F190" s="111"/>
      <c r="G190" s="116">
        <f>126*1.2+(2.4*1.2)*4</f>
        <v>162.72</v>
      </c>
      <c r="H190" s="111"/>
      <c r="I190" s="111"/>
    </row>
    <row r="191" spans="1:9" ht="12.75">
      <c r="A191" s="111"/>
      <c r="B191" s="111"/>
      <c r="C191" s="111"/>
      <c r="D191" s="117"/>
      <c r="E191" s="117" t="s">
        <v>622</v>
      </c>
      <c r="F191" s="111"/>
      <c r="G191" s="119"/>
      <c r="H191" s="111"/>
      <c r="I191" s="111"/>
    </row>
    <row r="192" spans="1:9" ht="12.75">
      <c r="A192" s="111"/>
      <c r="B192" s="111"/>
      <c r="C192" s="111"/>
      <c r="D192" s="115"/>
      <c r="E192" s="115" t="s">
        <v>722</v>
      </c>
      <c r="F192" s="111"/>
      <c r="G192" s="116">
        <f>70.5*1.2+(2.4*1.2)*2</f>
        <v>90.36</v>
      </c>
      <c r="H192" s="111"/>
      <c r="I192" s="111"/>
    </row>
    <row r="193" spans="1:9" ht="12.75">
      <c r="A193" s="111"/>
      <c r="B193" s="111"/>
      <c r="C193" s="111"/>
      <c r="D193" s="117"/>
      <c r="E193" s="117" t="s">
        <v>615</v>
      </c>
      <c r="F193" s="111"/>
      <c r="G193" s="119"/>
      <c r="H193" s="111"/>
      <c r="I193" s="111"/>
    </row>
    <row r="194" spans="1:9" ht="12.75">
      <c r="A194" s="111"/>
      <c r="B194" s="111"/>
      <c r="C194" s="111"/>
      <c r="D194" s="115"/>
      <c r="E194" s="115" t="s">
        <v>723</v>
      </c>
      <c r="F194" s="111"/>
      <c r="G194" s="116">
        <f>120*1.2+(2.4*1.2)*4</f>
        <v>155.52</v>
      </c>
      <c r="H194" s="111"/>
      <c r="I194" s="111"/>
    </row>
    <row r="195" spans="1:9" ht="12.75">
      <c r="A195" s="111"/>
      <c r="B195" s="111"/>
      <c r="C195" s="111"/>
      <c r="D195" s="117"/>
      <c r="E195" s="117" t="s">
        <v>616</v>
      </c>
      <c r="F195" s="111"/>
      <c r="G195" s="119"/>
      <c r="H195" s="111"/>
      <c r="I195" s="111"/>
    </row>
    <row r="196" spans="1:9" ht="12.75">
      <c r="A196" s="111"/>
      <c r="B196" s="111"/>
      <c r="C196" s="111"/>
      <c r="D196" s="115"/>
      <c r="E196" s="115" t="s">
        <v>724</v>
      </c>
      <c r="F196" s="111"/>
      <c r="G196" s="116">
        <f>50*1.2+(2.4*1.2)*1</f>
        <v>62.88</v>
      </c>
      <c r="H196" s="111"/>
      <c r="I196" s="111"/>
    </row>
    <row r="197" spans="1:9" ht="12.75">
      <c r="A197" s="110" t="s">
        <v>527</v>
      </c>
      <c r="B197" s="110" t="s">
        <v>489</v>
      </c>
      <c r="C197" s="110" t="s">
        <v>295</v>
      </c>
      <c r="D197" s="111" t="s">
        <v>332</v>
      </c>
      <c r="E197" s="112" t="s">
        <v>333</v>
      </c>
      <c r="F197" s="110" t="s">
        <v>129</v>
      </c>
      <c r="G197" s="113">
        <f>G199</f>
        <v>496.44</v>
      </c>
      <c r="H197" s="114"/>
      <c r="I197" s="114">
        <f>ROUND(G197*H197,2)</f>
        <v>0</v>
      </c>
    </row>
    <row r="198" spans="1:9" ht="12.75">
      <c r="A198" s="111"/>
      <c r="B198" s="111"/>
      <c r="C198" s="111"/>
      <c r="D198" s="117"/>
      <c r="E198" s="117" t="s">
        <v>307</v>
      </c>
      <c r="F198" s="111"/>
      <c r="G198" s="118"/>
      <c r="H198" s="111"/>
      <c r="I198" s="111"/>
    </row>
    <row r="199" spans="1:9" ht="12.75">
      <c r="A199" s="111"/>
      <c r="B199" s="111"/>
      <c r="C199" s="111"/>
      <c r="D199" s="115"/>
      <c r="E199" s="115">
        <v>496.44</v>
      </c>
      <c r="F199" s="111"/>
      <c r="G199" s="116">
        <f>G185</f>
        <v>496.44</v>
      </c>
      <c r="H199" s="111"/>
      <c r="I199" s="111"/>
    </row>
    <row r="200" spans="1:9" ht="12.75">
      <c r="A200" s="110" t="s">
        <v>529</v>
      </c>
      <c r="B200" s="110" t="s">
        <v>489</v>
      </c>
      <c r="C200" s="110" t="s">
        <v>295</v>
      </c>
      <c r="D200" s="111" t="s">
        <v>334</v>
      </c>
      <c r="E200" s="112" t="s">
        <v>335</v>
      </c>
      <c r="F200" s="110" t="s">
        <v>129</v>
      </c>
      <c r="G200" s="113">
        <f>G202</f>
        <v>496.44</v>
      </c>
      <c r="H200" s="114"/>
      <c r="I200" s="114">
        <f>ROUND(G200*H200,2)</f>
        <v>0</v>
      </c>
    </row>
    <row r="201" spans="1:9" ht="12.75">
      <c r="A201" s="111"/>
      <c r="B201" s="111"/>
      <c r="C201" s="111"/>
      <c r="D201" s="117"/>
      <c r="E201" s="117" t="s">
        <v>307</v>
      </c>
      <c r="F201" s="111"/>
      <c r="G201" s="118"/>
      <c r="H201" s="111"/>
      <c r="I201" s="111"/>
    </row>
    <row r="202" spans="1:9" ht="12.75">
      <c r="A202" s="111"/>
      <c r="B202" s="111"/>
      <c r="C202" s="111"/>
      <c r="D202" s="115"/>
      <c r="E202" s="115">
        <v>496.44</v>
      </c>
      <c r="F202" s="111"/>
      <c r="G202" s="116">
        <f>G199</f>
        <v>496.44</v>
      </c>
      <c r="H202" s="111"/>
      <c r="I202" s="111"/>
    </row>
    <row r="203" spans="1:9" ht="12.75">
      <c r="A203" s="110" t="s">
        <v>183</v>
      </c>
      <c r="B203" s="110" t="s">
        <v>489</v>
      </c>
      <c r="C203" s="110" t="s">
        <v>295</v>
      </c>
      <c r="D203" s="111" t="s">
        <v>336</v>
      </c>
      <c r="E203" s="112" t="s">
        <v>337</v>
      </c>
      <c r="F203" s="110" t="s">
        <v>129</v>
      </c>
      <c r="G203" s="113">
        <f>G205+G209+G211+G213</f>
        <v>1287.12</v>
      </c>
      <c r="H203" s="114"/>
      <c r="I203" s="114">
        <f>ROUND(G203*H203,2)</f>
        <v>0</v>
      </c>
    </row>
    <row r="204" spans="1:9" ht="12.75">
      <c r="A204" s="111"/>
      <c r="B204" s="111"/>
      <c r="C204" s="111"/>
      <c r="D204" s="117"/>
      <c r="E204" s="117" t="s">
        <v>307</v>
      </c>
      <c r="F204" s="111"/>
      <c r="G204" s="118"/>
      <c r="H204" s="111"/>
      <c r="I204" s="111"/>
    </row>
    <row r="205" spans="1:9" ht="12.75">
      <c r="A205" s="111"/>
      <c r="B205" s="111"/>
      <c r="C205" s="111"/>
      <c r="D205" s="115"/>
      <c r="E205" s="115">
        <v>496.44</v>
      </c>
      <c r="F205" s="111"/>
      <c r="G205" s="116">
        <f>G202</f>
        <v>496.44</v>
      </c>
      <c r="H205" s="111"/>
      <c r="I205" s="111"/>
    </row>
    <row r="206" spans="1:9" ht="12.75">
      <c r="A206" s="111"/>
      <c r="B206" s="111"/>
      <c r="C206" s="111"/>
      <c r="D206" s="117"/>
      <c r="E206" s="117" t="s">
        <v>341</v>
      </c>
      <c r="F206" s="111"/>
      <c r="G206" s="119"/>
      <c r="H206" s="111"/>
      <c r="I206" s="111"/>
    </row>
    <row r="207" spans="1:9" ht="12.75">
      <c r="A207" s="111"/>
      <c r="B207" s="111"/>
      <c r="C207" s="111"/>
      <c r="D207" s="117"/>
      <c r="E207" s="117" t="s">
        <v>608</v>
      </c>
      <c r="F207" s="111"/>
      <c r="G207" s="119"/>
      <c r="H207" s="111"/>
      <c r="I207" s="111"/>
    </row>
    <row r="208" spans="1:9" ht="12.75">
      <c r="A208" s="111"/>
      <c r="B208" s="111"/>
      <c r="C208" s="111"/>
      <c r="D208" s="117"/>
      <c r="E208" s="117" t="s">
        <v>612</v>
      </c>
      <c r="F208" s="111"/>
      <c r="G208" s="118"/>
      <c r="H208" s="111"/>
      <c r="I208" s="111"/>
    </row>
    <row r="209" spans="1:9" ht="12.75">
      <c r="A209" s="111"/>
      <c r="B209" s="111"/>
      <c r="C209" s="111"/>
      <c r="D209" s="115"/>
      <c r="E209" s="115" t="s">
        <v>727</v>
      </c>
      <c r="F209" s="111"/>
      <c r="G209" s="116">
        <f>308.8*1.2+(2.4*1.2)*10</f>
        <v>399.36</v>
      </c>
      <c r="H209" s="111"/>
      <c r="I209" s="111"/>
    </row>
    <row r="210" spans="1:9" ht="12.75">
      <c r="A210" s="111"/>
      <c r="B210" s="111"/>
      <c r="C210" s="111"/>
      <c r="D210" s="117"/>
      <c r="E210" s="117" t="s">
        <v>613</v>
      </c>
      <c r="F210" s="111"/>
      <c r="G210" s="119"/>
      <c r="H210" s="111"/>
      <c r="I210" s="111"/>
    </row>
    <row r="211" spans="1:9" ht="12.75">
      <c r="A211" s="111"/>
      <c r="B211" s="111"/>
      <c r="C211" s="111"/>
      <c r="D211" s="115"/>
      <c r="E211" s="115" t="s">
        <v>726</v>
      </c>
      <c r="F211" s="111"/>
      <c r="G211" s="116">
        <f>215.3*1.2+(2.4*1.2)*6</f>
        <v>275.64</v>
      </c>
      <c r="H211" s="111"/>
      <c r="I211" s="111"/>
    </row>
    <row r="212" spans="1:9" ht="12.75">
      <c r="A212" s="111"/>
      <c r="B212" s="111"/>
      <c r="C212" s="111"/>
      <c r="D212" s="117"/>
      <c r="E212" s="117" t="s">
        <v>615</v>
      </c>
      <c r="F212" s="111"/>
      <c r="G212" s="119"/>
      <c r="H212" s="111"/>
      <c r="I212" s="111"/>
    </row>
    <row r="213" spans="1:9" ht="12.75">
      <c r="A213" s="111"/>
      <c r="B213" s="111"/>
      <c r="C213" s="111"/>
      <c r="D213" s="115"/>
      <c r="E213" s="115" t="s">
        <v>725</v>
      </c>
      <c r="F213" s="111"/>
      <c r="G213" s="116">
        <f>94*1.2+(2.4*1.2)*1</f>
        <v>115.68</v>
      </c>
      <c r="H213" s="111"/>
      <c r="I213" s="111"/>
    </row>
    <row r="214" spans="1:9" ht="12.75">
      <c r="A214" s="110" t="s">
        <v>530</v>
      </c>
      <c r="B214" s="110" t="s">
        <v>489</v>
      </c>
      <c r="C214" s="110" t="s">
        <v>295</v>
      </c>
      <c r="D214" s="111" t="s">
        <v>336</v>
      </c>
      <c r="E214" s="112" t="s">
        <v>337</v>
      </c>
      <c r="F214" s="110" t="s">
        <v>129</v>
      </c>
      <c r="G214" s="113">
        <v>1340.5</v>
      </c>
      <c r="H214" s="114"/>
      <c r="I214" s="114">
        <f>ROUND(G214*H214,2)</f>
        <v>0</v>
      </c>
    </row>
    <row r="215" spans="1:9" ht="12.75">
      <c r="A215" s="111"/>
      <c r="B215" s="111"/>
      <c r="C215" s="111"/>
      <c r="D215" s="117"/>
      <c r="E215" s="117" t="s">
        <v>623</v>
      </c>
      <c r="F215" s="111"/>
      <c r="G215" s="118"/>
      <c r="H215" s="111"/>
      <c r="I215" s="111"/>
    </row>
    <row r="216" spans="1:9" ht="12.75">
      <c r="A216" s="111"/>
      <c r="B216" s="111"/>
      <c r="C216" s="111"/>
      <c r="D216" s="115"/>
      <c r="E216" s="115" t="s">
        <v>458</v>
      </c>
      <c r="F216" s="111"/>
      <c r="G216" s="116">
        <v>1340.5</v>
      </c>
      <c r="H216" s="111"/>
      <c r="I216" s="111"/>
    </row>
    <row r="217" spans="1:9" ht="12.75">
      <c r="A217" s="110" t="s">
        <v>533</v>
      </c>
      <c r="B217" s="110" t="s">
        <v>489</v>
      </c>
      <c r="C217" s="110" t="s">
        <v>295</v>
      </c>
      <c r="D217" s="111" t="s">
        <v>339</v>
      </c>
      <c r="E217" s="112" t="s">
        <v>340</v>
      </c>
      <c r="F217" s="110" t="s">
        <v>129</v>
      </c>
      <c r="G217" s="113">
        <f>G219</f>
        <v>790.68</v>
      </c>
      <c r="H217" s="114"/>
      <c r="I217" s="114">
        <f>ROUND(G217*H217,2)</f>
        <v>0</v>
      </c>
    </row>
    <row r="218" spans="1:9" ht="12.75">
      <c r="A218" s="111"/>
      <c r="B218" s="111"/>
      <c r="C218" s="111"/>
      <c r="D218" s="117"/>
      <c r="E218" s="117" t="s">
        <v>341</v>
      </c>
      <c r="F218" s="111"/>
      <c r="G218" s="118"/>
      <c r="H218" s="111"/>
      <c r="I218" s="111"/>
    </row>
    <row r="219" spans="1:9" ht="12.75">
      <c r="A219" s="111"/>
      <c r="B219" s="111"/>
      <c r="C219" s="111"/>
      <c r="D219" s="115"/>
      <c r="E219" s="115">
        <v>790.68</v>
      </c>
      <c r="F219" s="111"/>
      <c r="G219" s="116">
        <f>E219</f>
        <v>790.68</v>
      </c>
      <c r="H219" s="111"/>
      <c r="I219" s="111"/>
    </row>
    <row r="220" spans="1:9" ht="12.75">
      <c r="A220" s="110" t="s">
        <v>535</v>
      </c>
      <c r="B220" s="110" t="s">
        <v>489</v>
      </c>
      <c r="C220" s="110" t="s">
        <v>295</v>
      </c>
      <c r="D220" s="111" t="s">
        <v>353</v>
      </c>
      <c r="E220" s="112" t="s">
        <v>354</v>
      </c>
      <c r="F220" s="110" t="s">
        <v>129</v>
      </c>
      <c r="G220" s="113">
        <v>1340.5</v>
      </c>
      <c r="H220" s="114"/>
      <c r="I220" s="114">
        <f>ROUND(G220*H220,2)</f>
        <v>0</v>
      </c>
    </row>
    <row r="221" spans="1:9" ht="12.75">
      <c r="A221" s="111"/>
      <c r="B221" s="111"/>
      <c r="C221" s="111"/>
      <c r="D221" s="117"/>
      <c r="E221" s="117" t="s">
        <v>624</v>
      </c>
      <c r="F221" s="111"/>
      <c r="G221" s="118"/>
      <c r="H221" s="111"/>
      <c r="I221" s="111"/>
    </row>
    <row r="222" spans="1:9" ht="12.75">
      <c r="A222" s="111"/>
      <c r="B222" s="111"/>
      <c r="C222" s="111"/>
      <c r="D222" s="115"/>
      <c r="E222" s="115" t="s">
        <v>458</v>
      </c>
      <c r="F222" s="111"/>
      <c r="G222" s="116">
        <v>1340.5</v>
      </c>
      <c r="H222" s="111"/>
      <c r="I222" s="111"/>
    </row>
    <row r="223" spans="1:9" ht="12.75">
      <c r="A223" s="110" t="s">
        <v>536</v>
      </c>
      <c r="B223" s="110" t="s">
        <v>489</v>
      </c>
      <c r="C223" s="110" t="s">
        <v>295</v>
      </c>
      <c r="D223" s="111" t="s">
        <v>342</v>
      </c>
      <c r="E223" s="112" t="s">
        <v>343</v>
      </c>
      <c r="F223" s="110" t="s">
        <v>129</v>
      </c>
      <c r="G223" s="113">
        <f>G225</f>
        <v>496.44</v>
      </c>
      <c r="H223" s="114"/>
      <c r="I223" s="114">
        <f>ROUND(G223*H223,2)</f>
        <v>0</v>
      </c>
    </row>
    <row r="224" spans="1:9" ht="12.75">
      <c r="A224" s="111"/>
      <c r="B224" s="111"/>
      <c r="C224" s="111"/>
      <c r="D224" s="117"/>
      <c r="E224" s="117" t="s">
        <v>307</v>
      </c>
      <c r="F224" s="111"/>
      <c r="G224" s="118"/>
      <c r="H224" s="111"/>
      <c r="I224" s="111"/>
    </row>
    <row r="225" spans="1:9" ht="12.75">
      <c r="A225" s="111"/>
      <c r="B225" s="111"/>
      <c r="C225" s="111"/>
      <c r="D225" s="115"/>
      <c r="E225" s="115">
        <v>496.44</v>
      </c>
      <c r="F225" s="111"/>
      <c r="G225" s="116">
        <f>E225</f>
        <v>496.44</v>
      </c>
      <c r="H225" s="111"/>
      <c r="I225" s="111"/>
    </row>
    <row r="226" spans="1:9" ht="12.75">
      <c r="A226" s="110" t="s">
        <v>538</v>
      </c>
      <c r="B226" s="110" t="s">
        <v>489</v>
      </c>
      <c r="C226" s="110" t="s">
        <v>295</v>
      </c>
      <c r="D226" s="111" t="s">
        <v>344</v>
      </c>
      <c r="E226" s="112" t="s">
        <v>345</v>
      </c>
      <c r="F226" s="110" t="s">
        <v>129</v>
      </c>
      <c r="G226" s="113">
        <f>G228</f>
        <v>496.44</v>
      </c>
      <c r="H226" s="114"/>
      <c r="I226" s="114">
        <f>ROUND(G226*H226,2)</f>
        <v>0</v>
      </c>
    </row>
    <row r="227" spans="1:9" ht="12.75">
      <c r="A227" s="111"/>
      <c r="B227" s="111"/>
      <c r="C227" s="111"/>
      <c r="D227" s="117"/>
      <c r="E227" s="117" t="s">
        <v>307</v>
      </c>
      <c r="F227" s="111"/>
      <c r="G227" s="118"/>
      <c r="H227" s="111"/>
      <c r="I227" s="111"/>
    </row>
    <row r="228" spans="1:9" ht="12.75">
      <c r="A228" s="111"/>
      <c r="B228" s="111"/>
      <c r="C228" s="111"/>
      <c r="D228" s="115"/>
      <c r="E228" s="115">
        <v>496.44</v>
      </c>
      <c r="F228" s="111"/>
      <c r="G228" s="116">
        <f>E228</f>
        <v>496.44</v>
      </c>
      <c r="H228" s="111"/>
      <c r="I228" s="111"/>
    </row>
    <row r="229" spans="1:9" ht="12.75">
      <c r="A229" s="110" t="s">
        <v>539</v>
      </c>
      <c r="B229" s="110" t="s">
        <v>489</v>
      </c>
      <c r="C229" s="110" t="s">
        <v>295</v>
      </c>
      <c r="D229" s="111" t="s">
        <v>346</v>
      </c>
      <c r="E229" s="112" t="s">
        <v>347</v>
      </c>
      <c r="F229" s="110" t="s">
        <v>129</v>
      </c>
      <c r="G229" s="113">
        <f>G231</f>
        <v>790.68</v>
      </c>
      <c r="H229" s="114"/>
      <c r="I229" s="114">
        <f>ROUND(G229*H229,2)</f>
        <v>0</v>
      </c>
    </row>
    <row r="230" spans="1:9" ht="12.75">
      <c r="A230" s="111"/>
      <c r="B230" s="111"/>
      <c r="C230" s="111"/>
      <c r="D230" s="117"/>
      <c r="E230" s="117" t="s">
        <v>341</v>
      </c>
      <c r="F230" s="111"/>
      <c r="G230" s="118"/>
      <c r="H230" s="111"/>
      <c r="I230" s="111"/>
    </row>
    <row r="231" spans="1:9" ht="12.75">
      <c r="A231" s="111"/>
      <c r="B231" s="111"/>
      <c r="C231" s="111"/>
      <c r="D231" s="115"/>
      <c r="E231" s="115">
        <v>790.68</v>
      </c>
      <c r="F231" s="111"/>
      <c r="G231" s="116">
        <f>E231</f>
        <v>790.68</v>
      </c>
      <c r="H231" s="111"/>
      <c r="I231" s="111"/>
    </row>
    <row r="232" spans="1:9" ht="12.75">
      <c r="A232" s="110" t="s">
        <v>542</v>
      </c>
      <c r="B232" s="110" t="s">
        <v>489</v>
      </c>
      <c r="C232" s="110" t="s">
        <v>295</v>
      </c>
      <c r="D232" s="111" t="s">
        <v>348</v>
      </c>
      <c r="E232" s="112" t="s">
        <v>349</v>
      </c>
      <c r="F232" s="110" t="s">
        <v>75</v>
      </c>
      <c r="G232" s="113">
        <v>1999.2</v>
      </c>
      <c r="H232" s="114"/>
      <c r="I232" s="114">
        <f>ROUND(G232*H232,2)</f>
        <v>0</v>
      </c>
    </row>
    <row r="233" spans="1:9" ht="12.75">
      <c r="A233" s="110" t="s">
        <v>543</v>
      </c>
      <c r="B233" s="110" t="s">
        <v>489</v>
      </c>
      <c r="C233" s="110" t="s">
        <v>295</v>
      </c>
      <c r="D233" s="111" t="s">
        <v>348</v>
      </c>
      <c r="E233" s="112" t="s">
        <v>349</v>
      </c>
      <c r="F233" s="110" t="s">
        <v>75</v>
      </c>
      <c r="G233" s="113">
        <v>383</v>
      </c>
      <c r="H233" s="114"/>
      <c r="I233" s="114">
        <f>ROUND(G233*H233,2)</f>
        <v>0</v>
      </c>
    </row>
    <row r="234" spans="1:9" ht="12.75">
      <c r="A234" s="111"/>
      <c r="B234" s="111"/>
      <c r="C234" s="111"/>
      <c r="D234" s="115"/>
      <c r="E234" s="115" t="s">
        <v>459</v>
      </c>
      <c r="F234" s="111"/>
      <c r="G234" s="116">
        <v>383</v>
      </c>
      <c r="H234" s="111"/>
      <c r="I234" s="111"/>
    </row>
    <row r="235" spans="1:9" ht="12.75">
      <c r="A235" s="110" t="s">
        <v>544</v>
      </c>
      <c r="B235" s="110" t="s">
        <v>489</v>
      </c>
      <c r="C235" s="110" t="s">
        <v>295</v>
      </c>
      <c r="D235" s="111" t="s">
        <v>296</v>
      </c>
      <c r="E235" s="112" t="s">
        <v>297</v>
      </c>
      <c r="F235" s="110" t="s">
        <v>75</v>
      </c>
      <c r="G235" s="113">
        <v>2001.2</v>
      </c>
      <c r="H235" s="114"/>
      <c r="I235" s="114">
        <f>ROUND(G235*H235,2)</f>
        <v>0</v>
      </c>
    </row>
    <row r="236" spans="1:9" ht="12.75">
      <c r="A236" s="111"/>
      <c r="B236" s="111"/>
      <c r="C236" s="111"/>
      <c r="D236" s="115"/>
      <c r="E236" s="115" t="s">
        <v>460</v>
      </c>
      <c r="F236" s="111"/>
      <c r="G236" s="116">
        <v>2001.2</v>
      </c>
      <c r="H236" s="111"/>
      <c r="I236" s="111"/>
    </row>
    <row r="237" spans="1:9" ht="12.75">
      <c r="A237" s="110" t="s">
        <v>545</v>
      </c>
      <c r="B237" s="110" t="s">
        <v>489</v>
      </c>
      <c r="C237" s="110" t="s">
        <v>315</v>
      </c>
      <c r="D237" s="111" t="s">
        <v>316</v>
      </c>
      <c r="E237" s="112" t="s">
        <v>383</v>
      </c>
      <c r="F237" s="110" t="s">
        <v>157</v>
      </c>
      <c r="G237" s="113">
        <v>433.554</v>
      </c>
      <c r="H237" s="114"/>
      <c r="I237" s="114">
        <f>ROUND(G237*H237,2)</f>
        <v>0</v>
      </c>
    </row>
    <row r="238" spans="1:9" ht="12.75">
      <c r="A238" s="111"/>
      <c r="B238" s="111"/>
      <c r="C238" s="111"/>
      <c r="D238" s="117"/>
      <c r="E238" s="117" t="s">
        <v>462</v>
      </c>
      <c r="F238" s="111"/>
      <c r="G238" s="118"/>
      <c r="H238" s="111"/>
      <c r="I238" s="111"/>
    </row>
    <row r="239" spans="1:9" ht="12.75">
      <c r="A239" s="111"/>
      <c r="B239" s="111"/>
      <c r="C239" s="111"/>
      <c r="D239" s="115"/>
      <c r="E239" s="115" t="s">
        <v>461</v>
      </c>
      <c r="F239" s="111"/>
      <c r="G239" s="116">
        <v>433.554</v>
      </c>
      <c r="H239" s="111"/>
      <c r="I239" s="111"/>
    </row>
    <row r="240" spans="1:9" ht="12.75">
      <c r="A240" s="110" t="s">
        <v>546</v>
      </c>
      <c r="B240" s="110" t="s">
        <v>489</v>
      </c>
      <c r="C240" s="110" t="s">
        <v>315</v>
      </c>
      <c r="D240" s="111" t="s">
        <v>318</v>
      </c>
      <c r="E240" s="112" t="s">
        <v>319</v>
      </c>
      <c r="F240" s="110" t="s">
        <v>157</v>
      </c>
      <c r="G240" s="113">
        <f>G242</f>
        <v>3468.432</v>
      </c>
      <c r="H240" s="114"/>
      <c r="I240" s="114">
        <f>ROUND(G240*H240,2)</f>
        <v>0</v>
      </c>
    </row>
    <row r="241" spans="1:9" ht="12.75">
      <c r="A241" s="111"/>
      <c r="B241" s="111"/>
      <c r="C241" s="111"/>
      <c r="D241" s="117"/>
      <c r="E241" s="117" t="s">
        <v>462</v>
      </c>
      <c r="F241" s="111"/>
      <c r="G241" s="118"/>
      <c r="H241" s="111"/>
      <c r="I241" s="111"/>
    </row>
    <row r="242" spans="1:9" ht="12.75">
      <c r="A242" s="111"/>
      <c r="B242" s="111"/>
      <c r="C242" s="111"/>
      <c r="D242" s="115"/>
      <c r="E242" s="115" t="s">
        <v>718</v>
      </c>
      <c r="F242" s="111"/>
      <c r="G242" s="116">
        <f>8*433.554</f>
        <v>3468.432</v>
      </c>
      <c r="H242" s="111"/>
      <c r="I242" s="111"/>
    </row>
    <row r="243" spans="1:9" ht="12.75">
      <c r="A243" s="110" t="s">
        <v>547</v>
      </c>
      <c r="B243" s="110" t="s">
        <v>489</v>
      </c>
      <c r="C243" s="110" t="s">
        <v>315</v>
      </c>
      <c r="D243" s="111" t="s">
        <v>316</v>
      </c>
      <c r="E243" s="112" t="s">
        <v>383</v>
      </c>
      <c r="F243" s="110" t="s">
        <v>157</v>
      </c>
      <c r="G243" s="113">
        <v>533.385</v>
      </c>
      <c r="H243" s="114"/>
      <c r="I243" s="114">
        <f>ROUND(G243*H243,2)</f>
        <v>0</v>
      </c>
    </row>
    <row r="244" spans="1:9" ht="12.75">
      <c r="A244" s="111"/>
      <c r="B244" s="111"/>
      <c r="C244" s="111"/>
      <c r="D244" s="117"/>
      <c r="E244" s="117" t="s">
        <v>464</v>
      </c>
      <c r="F244" s="111"/>
      <c r="G244" s="118"/>
      <c r="H244" s="111"/>
      <c r="I244" s="111"/>
    </row>
    <row r="245" spans="1:9" ht="12.75">
      <c r="A245" s="111"/>
      <c r="B245" s="111"/>
      <c r="C245" s="111"/>
      <c r="D245" s="115"/>
      <c r="E245" s="115" t="s">
        <v>463</v>
      </c>
      <c r="F245" s="111"/>
      <c r="G245" s="116">
        <v>533.385</v>
      </c>
      <c r="H245" s="111"/>
      <c r="I245" s="111"/>
    </row>
    <row r="246" spans="1:9" ht="12.75">
      <c r="A246" s="110" t="s">
        <v>548</v>
      </c>
      <c r="B246" s="110" t="s">
        <v>489</v>
      </c>
      <c r="C246" s="110" t="s">
        <v>315</v>
      </c>
      <c r="D246" s="111" t="s">
        <v>318</v>
      </c>
      <c r="E246" s="112" t="s">
        <v>319</v>
      </c>
      <c r="F246" s="110" t="s">
        <v>157</v>
      </c>
      <c r="G246" s="113">
        <v>1066.77</v>
      </c>
      <c r="H246" s="114"/>
      <c r="I246" s="114">
        <f>ROUND(G246*H246,2)</f>
        <v>0</v>
      </c>
    </row>
    <row r="247" spans="1:9" ht="12.75">
      <c r="A247" s="111"/>
      <c r="B247" s="111"/>
      <c r="C247" s="111"/>
      <c r="D247" s="117"/>
      <c r="E247" s="117" t="s">
        <v>464</v>
      </c>
      <c r="F247" s="111"/>
      <c r="G247" s="118"/>
      <c r="H247" s="111"/>
      <c r="I247" s="111"/>
    </row>
    <row r="248" spans="1:9" ht="12.75">
      <c r="A248" s="111"/>
      <c r="B248" s="111"/>
      <c r="C248" s="111"/>
      <c r="D248" s="115"/>
      <c r="E248" s="115" t="s">
        <v>465</v>
      </c>
      <c r="F248" s="111"/>
      <c r="G248" s="116">
        <v>1066.77</v>
      </c>
      <c r="H248" s="111"/>
      <c r="I248" s="111"/>
    </row>
    <row r="249" spans="1:9" ht="12.75">
      <c r="A249" s="106"/>
      <c r="B249" s="107" t="s">
        <v>488</v>
      </c>
      <c r="C249" s="106"/>
      <c r="D249" s="108" t="s">
        <v>90</v>
      </c>
      <c r="E249" s="108" t="s">
        <v>179</v>
      </c>
      <c r="F249" s="106"/>
      <c r="G249" s="106"/>
      <c r="H249" s="106"/>
      <c r="I249" s="109">
        <f>SUM(I250:I271)</f>
        <v>0</v>
      </c>
    </row>
    <row r="250" spans="1:9" ht="12.75">
      <c r="A250" s="110" t="s">
        <v>549</v>
      </c>
      <c r="B250" s="110" t="s">
        <v>489</v>
      </c>
      <c r="C250" s="110" t="s">
        <v>493</v>
      </c>
      <c r="D250" s="111" t="s">
        <v>382</v>
      </c>
      <c r="E250" s="112" t="s">
        <v>387</v>
      </c>
      <c r="F250" s="110" t="s">
        <v>72</v>
      </c>
      <c r="G250" s="113">
        <v>29</v>
      </c>
      <c r="H250" s="114"/>
      <c r="I250" s="114">
        <f>ROUND(G250*H250,2)</f>
        <v>0</v>
      </c>
    </row>
    <row r="251" spans="1:9" ht="12.75">
      <c r="A251" s="110" t="s">
        <v>550</v>
      </c>
      <c r="B251" s="110" t="s">
        <v>489</v>
      </c>
      <c r="C251" s="110" t="s">
        <v>175</v>
      </c>
      <c r="D251" s="111" t="s">
        <v>395</v>
      </c>
      <c r="E251" s="112" t="s">
        <v>396</v>
      </c>
      <c r="F251" s="110" t="s">
        <v>75</v>
      </c>
      <c r="G251" s="113">
        <v>70.5</v>
      </c>
      <c r="H251" s="114"/>
      <c r="I251" s="114">
        <f>ROUND(G251*H251,2)</f>
        <v>0</v>
      </c>
    </row>
    <row r="252" spans="1:9" ht="12.75">
      <c r="A252" s="111"/>
      <c r="B252" s="111"/>
      <c r="C252" s="111"/>
      <c r="D252" s="115"/>
      <c r="E252" s="115" t="s">
        <v>466</v>
      </c>
      <c r="F252" s="111"/>
      <c r="G252" s="116">
        <v>70.5</v>
      </c>
      <c r="H252" s="111"/>
      <c r="I252" s="111"/>
    </row>
    <row r="253" spans="1:9" ht="12.75">
      <c r="A253" s="120" t="s">
        <v>551</v>
      </c>
      <c r="B253" s="120" t="s">
        <v>508</v>
      </c>
      <c r="C253" s="120" t="s">
        <v>509</v>
      </c>
      <c r="D253" s="121" t="s">
        <v>397</v>
      </c>
      <c r="E253" s="122" t="s">
        <v>398</v>
      </c>
      <c r="F253" s="120" t="s">
        <v>75</v>
      </c>
      <c r="G253" s="123">
        <v>61.205</v>
      </c>
      <c r="H253" s="124"/>
      <c r="I253" s="124">
        <f>ROUND(G253*H253,2)</f>
        <v>0</v>
      </c>
    </row>
    <row r="254" spans="1:9" ht="12.75">
      <c r="A254" s="111"/>
      <c r="B254" s="111"/>
      <c r="C254" s="111"/>
      <c r="D254" s="115"/>
      <c r="E254" s="115" t="s">
        <v>467</v>
      </c>
      <c r="F254" s="111"/>
      <c r="G254" s="116">
        <v>61.205</v>
      </c>
      <c r="H254" s="111"/>
      <c r="I254" s="111"/>
    </row>
    <row r="255" spans="1:9" ht="12.75">
      <c r="A255" s="120" t="s">
        <v>553</v>
      </c>
      <c r="B255" s="120" t="s">
        <v>508</v>
      </c>
      <c r="C255" s="120" t="s">
        <v>509</v>
      </c>
      <c r="D255" s="121" t="s">
        <v>400</v>
      </c>
      <c r="E255" s="122" t="s">
        <v>401</v>
      </c>
      <c r="F255" s="120" t="s">
        <v>72</v>
      </c>
      <c r="G255" s="123">
        <v>17.255</v>
      </c>
      <c r="H255" s="124"/>
      <c r="I255" s="124">
        <f>ROUND(G255*H255,2)</f>
        <v>0</v>
      </c>
    </row>
    <row r="256" spans="1:9" ht="12.75">
      <c r="A256" s="111"/>
      <c r="B256" s="111"/>
      <c r="C256" s="111"/>
      <c r="D256" s="115"/>
      <c r="E256" s="115" t="s">
        <v>468</v>
      </c>
      <c r="F256" s="111"/>
      <c r="G256" s="116">
        <v>17.255</v>
      </c>
      <c r="H256" s="111"/>
      <c r="I256" s="111"/>
    </row>
    <row r="257" spans="1:9" ht="12.75">
      <c r="A257" s="110" t="s">
        <v>554</v>
      </c>
      <c r="B257" s="110" t="s">
        <v>489</v>
      </c>
      <c r="C257" s="110" t="s">
        <v>175</v>
      </c>
      <c r="D257" s="111" t="s">
        <v>403</v>
      </c>
      <c r="E257" s="112" t="s">
        <v>404</v>
      </c>
      <c r="F257" s="110" t="s">
        <v>75</v>
      </c>
      <c r="G257" s="113">
        <v>930.1</v>
      </c>
      <c r="H257" s="114"/>
      <c r="I257" s="114">
        <f>ROUND(G257*H257,2)</f>
        <v>0</v>
      </c>
    </row>
    <row r="258" spans="1:9" ht="12.75">
      <c r="A258" s="111"/>
      <c r="B258" s="111"/>
      <c r="C258" s="111"/>
      <c r="D258" s="115"/>
      <c r="E258" s="115" t="s">
        <v>469</v>
      </c>
      <c r="F258" s="111"/>
      <c r="G258" s="116">
        <v>930.1</v>
      </c>
      <c r="H258" s="111"/>
      <c r="I258" s="111"/>
    </row>
    <row r="259" spans="1:9" ht="12.75">
      <c r="A259" s="120" t="s">
        <v>555</v>
      </c>
      <c r="B259" s="120" t="s">
        <v>508</v>
      </c>
      <c r="C259" s="120" t="s">
        <v>509</v>
      </c>
      <c r="D259" s="121" t="s">
        <v>405</v>
      </c>
      <c r="E259" s="122" t="s">
        <v>406</v>
      </c>
      <c r="F259" s="120" t="s">
        <v>75</v>
      </c>
      <c r="G259" s="123">
        <v>936.744</v>
      </c>
      <c r="H259" s="124"/>
      <c r="I259" s="124">
        <f>ROUND(G259*H259,2)</f>
        <v>0</v>
      </c>
    </row>
    <row r="260" spans="1:9" ht="12.75">
      <c r="A260" s="111"/>
      <c r="B260" s="111"/>
      <c r="C260" s="111"/>
      <c r="D260" s="115"/>
      <c r="E260" s="115" t="s">
        <v>470</v>
      </c>
      <c r="F260" s="111"/>
      <c r="G260" s="116">
        <v>936.744</v>
      </c>
      <c r="H260" s="111"/>
      <c r="I260" s="111"/>
    </row>
    <row r="261" spans="1:9" ht="12.75">
      <c r="A261" s="120" t="s">
        <v>558</v>
      </c>
      <c r="B261" s="120" t="s">
        <v>508</v>
      </c>
      <c r="C261" s="120" t="s">
        <v>509</v>
      </c>
      <c r="D261" s="121" t="s">
        <v>408</v>
      </c>
      <c r="E261" s="122" t="s">
        <v>409</v>
      </c>
      <c r="F261" s="120" t="s">
        <v>72</v>
      </c>
      <c r="G261" s="123">
        <v>12.18</v>
      </c>
      <c r="H261" s="124"/>
      <c r="I261" s="124">
        <f>ROUND(G261*H261,2)</f>
        <v>0</v>
      </c>
    </row>
    <row r="262" spans="1:9" ht="12.75">
      <c r="A262" s="111"/>
      <c r="B262" s="111"/>
      <c r="C262" s="111"/>
      <c r="D262" s="115"/>
      <c r="E262" s="115" t="s">
        <v>471</v>
      </c>
      <c r="F262" s="111"/>
      <c r="G262" s="116">
        <v>12.18</v>
      </c>
      <c r="H262" s="111"/>
      <c r="I262" s="111"/>
    </row>
    <row r="263" spans="1:9" ht="12.75">
      <c r="A263" s="110" t="s">
        <v>559</v>
      </c>
      <c r="B263" s="110" t="s">
        <v>489</v>
      </c>
      <c r="C263" s="110" t="s">
        <v>175</v>
      </c>
      <c r="D263" s="111" t="s">
        <v>418</v>
      </c>
      <c r="E263" s="112" t="s">
        <v>472</v>
      </c>
      <c r="F263" s="110" t="s">
        <v>72</v>
      </c>
      <c r="G263" s="113">
        <v>64</v>
      </c>
      <c r="H263" s="114"/>
      <c r="I263" s="114">
        <f>ROUND(G263*H263,2)</f>
        <v>0</v>
      </c>
    </row>
    <row r="264" spans="1:9" ht="12.75">
      <c r="A264" s="120" t="s">
        <v>560</v>
      </c>
      <c r="B264" s="120" t="s">
        <v>508</v>
      </c>
      <c r="C264" s="120" t="s">
        <v>509</v>
      </c>
      <c r="D264" s="121" t="s">
        <v>419</v>
      </c>
      <c r="E264" s="122" t="s">
        <v>610</v>
      </c>
      <c r="F264" s="120" t="s">
        <v>72</v>
      </c>
      <c r="G264" s="123">
        <v>64.96</v>
      </c>
      <c r="H264" s="124"/>
      <c r="I264" s="124">
        <f>ROUND(G264*H264,2)</f>
        <v>0</v>
      </c>
    </row>
    <row r="265" spans="1:9" ht="12.75">
      <c r="A265" s="111"/>
      <c r="B265" s="111"/>
      <c r="C265" s="111"/>
      <c r="D265" s="115"/>
      <c r="E265" s="115" t="s">
        <v>473</v>
      </c>
      <c r="F265" s="111"/>
      <c r="G265" s="116">
        <v>64.96</v>
      </c>
      <c r="H265" s="111"/>
      <c r="I265" s="111"/>
    </row>
    <row r="266" spans="1:9" ht="12.75">
      <c r="A266" s="110" t="s">
        <v>561</v>
      </c>
      <c r="B266" s="110" t="s">
        <v>489</v>
      </c>
      <c r="C266" s="110" t="s">
        <v>175</v>
      </c>
      <c r="D266" s="111" t="s">
        <v>411</v>
      </c>
      <c r="E266" s="112" t="s">
        <v>412</v>
      </c>
      <c r="F266" s="110" t="s">
        <v>72</v>
      </c>
      <c r="G266" s="113">
        <v>64</v>
      </c>
      <c r="H266" s="114"/>
      <c r="I266" s="114">
        <f aca="true" t="shared" si="0" ref="I266:I271">ROUND(G266*H266,2)</f>
        <v>0</v>
      </c>
    </row>
    <row r="267" spans="1:9" ht="12.75">
      <c r="A267" s="120" t="s">
        <v>562</v>
      </c>
      <c r="B267" s="120" t="s">
        <v>508</v>
      </c>
      <c r="C267" s="120" t="s">
        <v>509</v>
      </c>
      <c r="D267" s="121" t="s">
        <v>413</v>
      </c>
      <c r="E267" s="122" t="s">
        <v>414</v>
      </c>
      <c r="F267" s="120" t="s">
        <v>72</v>
      </c>
      <c r="G267" s="123">
        <v>8</v>
      </c>
      <c r="H267" s="124"/>
      <c r="I267" s="124">
        <f t="shared" si="0"/>
        <v>0</v>
      </c>
    </row>
    <row r="268" spans="1:9" ht="12.75">
      <c r="A268" s="120" t="s">
        <v>563</v>
      </c>
      <c r="B268" s="120" t="s">
        <v>508</v>
      </c>
      <c r="C268" s="120" t="s">
        <v>509</v>
      </c>
      <c r="D268" s="121" t="s">
        <v>415</v>
      </c>
      <c r="E268" s="122" t="s">
        <v>416</v>
      </c>
      <c r="F268" s="120" t="s">
        <v>72</v>
      </c>
      <c r="G268" s="123">
        <v>55.55</v>
      </c>
      <c r="H268" s="124"/>
      <c r="I268" s="124">
        <f t="shared" si="0"/>
        <v>0</v>
      </c>
    </row>
    <row r="269" spans="1:9" ht="12.75">
      <c r="A269" s="120" t="s">
        <v>564</v>
      </c>
      <c r="B269" s="120" t="s">
        <v>508</v>
      </c>
      <c r="C269" s="120" t="s">
        <v>509</v>
      </c>
      <c r="D269" s="121" t="s">
        <v>417</v>
      </c>
      <c r="E269" s="122" t="s">
        <v>474</v>
      </c>
      <c r="F269" s="120" t="s">
        <v>72</v>
      </c>
      <c r="G269" s="123">
        <v>9.09</v>
      </c>
      <c r="H269" s="124"/>
      <c r="I269" s="124">
        <f t="shared" si="0"/>
        <v>0</v>
      </c>
    </row>
    <row r="270" spans="1:9" ht="12.75">
      <c r="A270" s="110" t="s">
        <v>565</v>
      </c>
      <c r="B270" s="110" t="s">
        <v>489</v>
      </c>
      <c r="C270" s="110" t="s">
        <v>175</v>
      </c>
      <c r="D270" s="111" t="s">
        <v>388</v>
      </c>
      <c r="E270" s="112" t="s">
        <v>389</v>
      </c>
      <c r="F270" s="110" t="s">
        <v>72</v>
      </c>
      <c r="G270" s="113">
        <v>29</v>
      </c>
      <c r="H270" s="114"/>
      <c r="I270" s="114">
        <f t="shared" si="0"/>
        <v>0</v>
      </c>
    </row>
    <row r="271" spans="1:9" ht="12.75">
      <c r="A271" s="120" t="s">
        <v>566</v>
      </c>
      <c r="B271" s="120" t="s">
        <v>508</v>
      </c>
      <c r="C271" s="120" t="s">
        <v>509</v>
      </c>
      <c r="D271" s="121" t="s">
        <v>390</v>
      </c>
      <c r="E271" s="122" t="s">
        <v>391</v>
      </c>
      <c r="F271" s="120" t="s">
        <v>72</v>
      </c>
      <c r="G271" s="123">
        <v>29</v>
      </c>
      <c r="H271" s="124"/>
      <c r="I271" s="124">
        <f t="shared" si="0"/>
        <v>0</v>
      </c>
    </row>
    <row r="272" spans="1:9" ht="12.75">
      <c r="A272" s="106"/>
      <c r="B272" s="107" t="s">
        <v>488</v>
      </c>
      <c r="C272" s="106"/>
      <c r="D272" s="108" t="s">
        <v>257</v>
      </c>
      <c r="E272" s="108" t="s">
        <v>258</v>
      </c>
      <c r="F272" s="106"/>
      <c r="G272" s="106"/>
      <c r="H272" s="106"/>
      <c r="I272" s="109">
        <f>I273</f>
        <v>0</v>
      </c>
    </row>
    <row r="273" spans="1:9" ht="12.75">
      <c r="A273" s="106"/>
      <c r="B273" s="125" t="s">
        <v>488</v>
      </c>
      <c r="C273" s="106"/>
      <c r="D273" s="126" t="s">
        <v>259</v>
      </c>
      <c r="E273" s="126" t="s">
        <v>260</v>
      </c>
      <c r="F273" s="106"/>
      <c r="G273" s="106"/>
      <c r="H273" s="106"/>
      <c r="I273" s="127">
        <f>SUM(I274:I280)</f>
        <v>0</v>
      </c>
    </row>
    <row r="274" spans="1:9" ht="12.75">
      <c r="A274" s="110" t="s">
        <v>567</v>
      </c>
      <c r="B274" s="110" t="s">
        <v>489</v>
      </c>
      <c r="C274" s="110" t="s">
        <v>92</v>
      </c>
      <c r="D274" s="111" t="s">
        <v>355</v>
      </c>
      <c r="E274" s="112" t="s">
        <v>356</v>
      </c>
      <c r="F274" s="110" t="s">
        <v>75</v>
      </c>
      <c r="G274" s="113">
        <v>16</v>
      </c>
      <c r="H274" s="114"/>
      <c r="I274" s="114">
        <f aca="true" t="shared" si="1" ref="I274:I280">ROUND(G274*H274,2)</f>
        <v>0</v>
      </c>
    </row>
    <row r="275" spans="1:9" ht="12.75">
      <c r="A275" s="110" t="s">
        <v>568</v>
      </c>
      <c r="B275" s="110" t="s">
        <v>489</v>
      </c>
      <c r="C275" s="110" t="s">
        <v>92</v>
      </c>
      <c r="D275" s="111" t="s">
        <v>357</v>
      </c>
      <c r="E275" s="112" t="s">
        <v>358</v>
      </c>
      <c r="F275" s="110" t="s">
        <v>75</v>
      </c>
      <c r="G275" s="113">
        <v>7</v>
      </c>
      <c r="H275" s="114"/>
      <c r="I275" s="114">
        <f t="shared" si="1"/>
        <v>0</v>
      </c>
    </row>
    <row r="276" spans="1:9" ht="12.75">
      <c r="A276" s="110" t="s">
        <v>570</v>
      </c>
      <c r="B276" s="110" t="s">
        <v>489</v>
      </c>
      <c r="C276" s="110" t="s">
        <v>92</v>
      </c>
      <c r="D276" s="111" t="s">
        <v>359</v>
      </c>
      <c r="E276" s="112" t="s">
        <v>360</v>
      </c>
      <c r="F276" s="110" t="s">
        <v>75</v>
      </c>
      <c r="G276" s="113">
        <v>5</v>
      </c>
      <c r="H276" s="114"/>
      <c r="I276" s="114">
        <f t="shared" si="1"/>
        <v>0</v>
      </c>
    </row>
    <row r="277" spans="1:9" ht="12.75">
      <c r="A277" s="110" t="s">
        <v>571</v>
      </c>
      <c r="B277" s="110" t="s">
        <v>489</v>
      </c>
      <c r="C277" s="110" t="s">
        <v>92</v>
      </c>
      <c r="D277" s="111" t="s">
        <v>261</v>
      </c>
      <c r="E277" s="112" t="s">
        <v>262</v>
      </c>
      <c r="F277" s="110" t="s">
        <v>75</v>
      </c>
      <c r="G277" s="113">
        <v>12</v>
      </c>
      <c r="H277" s="114"/>
      <c r="I277" s="114">
        <f t="shared" si="1"/>
        <v>0</v>
      </c>
    </row>
    <row r="278" spans="1:9" ht="12.75">
      <c r="A278" s="110">
        <v>76</v>
      </c>
      <c r="B278" s="110" t="s">
        <v>489</v>
      </c>
      <c r="C278" s="110" t="s">
        <v>421</v>
      </c>
      <c r="D278" s="111" t="s">
        <v>422</v>
      </c>
      <c r="E278" s="112" t="s">
        <v>475</v>
      </c>
      <c r="F278" s="110" t="s">
        <v>75</v>
      </c>
      <c r="G278" s="113">
        <v>1000.6</v>
      </c>
      <c r="H278" s="114"/>
      <c r="I278" s="114">
        <f t="shared" si="1"/>
        <v>0</v>
      </c>
    </row>
    <row r="279" spans="1:9" ht="12.75">
      <c r="A279" s="110">
        <v>77</v>
      </c>
      <c r="B279" s="110" t="s">
        <v>489</v>
      </c>
      <c r="C279" s="110" t="s">
        <v>421</v>
      </c>
      <c r="D279" s="111" t="s">
        <v>423</v>
      </c>
      <c r="E279" s="112" t="s">
        <v>611</v>
      </c>
      <c r="F279" s="110" t="s">
        <v>75</v>
      </c>
      <c r="G279" s="113">
        <v>1000.6</v>
      </c>
      <c r="H279" s="114"/>
      <c r="I279" s="114">
        <f t="shared" si="1"/>
        <v>0</v>
      </c>
    </row>
    <row r="280" spans="1:9" ht="12.75">
      <c r="A280" s="110">
        <v>78</v>
      </c>
      <c r="B280" s="110" t="s">
        <v>489</v>
      </c>
      <c r="C280" s="110" t="s">
        <v>175</v>
      </c>
      <c r="D280" s="111" t="s">
        <v>424</v>
      </c>
      <c r="E280" s="112" t="s">
        <v>476</v>
      </c>
      <c r="F280" s="110" t="s">
        <v>157</v>
      </c>
      <c r="G280" s="113">
        <v>5004.986</v>
      </c>
      <c r="H280" s="114"/>
      <c r="I280" s="114">
        <f t="shared" si="1"/>
        <v>0</v>
      </c>
    </row>
    <row r="281" spans="1:9" ht="12.75">
      <c r="A281" s="128"/>
      <c r="B281" s="128"/>
      <c r="C281" s="128"/>
      <c r="D281" s="128"/>
      <c r="E281" s="129" t="s">
        <v>270</v>
      </c>
      <c r="F281" s="128"/>
      <c r="G281" s="128"/>
      <c r="H281" s="128"/>
      <c r="I281" s="130">
        <f>I14</f>
        <v>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99"/>
  <sheetViews>
    <sheetView view="pageBreakPreview" zoomScale="120" zoomScaleSheetLayoutView="120" zoomScalePageLayoutView="0" workbookViewId="0" topLeftCell="A10">
      <selection activeCell="C16" sqref="C16:C20"/>
    </sheetView>
  </sheetViews>
  <sheetFormatPr defaultColWidth="9.00390625" defaultRowHeight="12.75"/>
  <cols>
    <col min="1" max="1" width="5.00390625" style="66" customWidth="1"/>
    <col min="2" max="2" width="72.625" style="66" customWidth="1"/>
    <col min="3" max="3" width="17.25390625" style="66" customWidth="1"/>
    <col min="4" max="16384" width="9.125" style="66" customWidth="1"/>
  </cols>
  <sheetData>
    <row r="1" spans="1:3" ht="37.5" customHeight="1">
      <c r="A1" s="156" t="s">
        <v>70</v>
      </c>
      <c r="B1" s="157"/>
      <c r="C1" s="158"/>
    </row>
    <row r="2" spans="1:3" ht="12.75">
      <c r="A2" s="67" t="s">
        <v>24</v>
      </c>
      <c r="B2" s="68" t="s">
        <v>25</v>
      </c>
      <c r="C2" s="69" t="s">
        <v>26</v>
      </c>
    </row>
    <row r="3" spans="1:3" ht="12.75">
      <c r="A3" s="70" t="s">
        <v>27</v>
      </c>
      <c r="B3" s="71" t="s">
        <v>28</v>
      </c>
      <c r="C3" s="92"/>
    </row>
    <row r="4" spans="1:3" ht="30" customHeight="1">
      <c r="A4" s="70" t="s">
        <v>29</v>
      </c>
      <c r="B4" s="73" t="s">
        <v>30</v>
      </c>
      <c r="C4" s="92"/>
    </row>
    <row r="5" spans="1:3" ht="18" customHeight="1">
      <c r="A5" s="74" t="s">
        <v>31</v>
      </c>
      <c r="B5" s="75" t="s">
        <v>32</v>
      </c>
      <c r="C5" s="92"/>
    </row>
    <row r="6" spans="1:3" ht="18.75" customHeight="1">
      <c r="A6" s="74" t="s">
        <v>33</v>
      </c>
      <c r="B6" s="76" t="s">
        <v>761</v>
      </c>
      <c r="C6" s="93"/>
    </row>
    <row r="7" spans="1:3" ht="12.75">
      <c r="A7" s="77" t="s">
        <v>34</v>
      </c>
      <c r="B7" s="78" t="s">
        <v>35</v>
      </c>
      <c r="C7" s="94">
        <f>SUM(C3:C6)</f>
        <v>0</v>
      </c>
    </row>
    <row r="8" spans="1:3" ht="12.75">
      <c r="A8" s="67" t="s">
        <v>763</v>
      </c>
      <c r="B8" s="68" t="s">
        <v>762</v>
      </c>
      <c r="C8" s="69" t="s">
        <v>26</v>
      </c>
    </row>
    <row r="9" spans="1:3" ht="15" customHeight="1">
      <c r="A9" s="74" t="s">
        <v>37</v>
      </c>
      <c r="B9" s="76" t="s">
        <v>41</v>
      </c>
      <c r="C9" s="72"/>
    </row>
    <row r="10" spans="1:3" ht="18.75" customHeight="1">
      <c r="A10" s="74" t="s">
        <v>753</v>
      </c>
      <c r="B10" s="76" t="s">
        <v>43</v>
      </c>
      <c r="C10" s="72"/>
    </row>
    <row r="11" spans="1:3" ht="58.5" customHeight="1">
      <c r="A11" s="74" t="s">
        <v>764</v>
      </c>
      <c r="B11" s="90" t="s">
        <v>625</v>
      </c>
      <c r="C11" s="72"/>
    </row>
    <row r="12" spans="1:3" ht="58.5" customHeight="1">
      <c r="A12" s="74" t="s">
        <v>766</v>
      </c>
      <c r="B12" s="75" t="s">
        <v>765</v>
      </c>
      <c r="C12" s="72"/>
    </row>
    <row r="13" spans="1:3" ht="27" customHeight="1">
      <c r="A13" s="74" t="s">
        <v>767</v>
      </c>
      <c r="B13" s="75" t="s">
        <v>770</v>
      </c>
      <c r="C13" s="72"/>
    </row>
    <row r="14" spans="1:3" ht="12.75">
      <c r="A14" s="80" t="s">
        <v>771</v>
      </c>
      <c r="B14" s="78" t="s">
        <v>38</v>
      </c>
      <c r="C14" s="79">
        <f>SUM(C9:C13)</f>
        <v>0</v>
      </c>
    </row>
    <row r="15" spans="1:3" ht="12.75">
      <c r="A15" s="67" t="s">
        <v>39</v>
      </c>
      <c r="B15" s="68" t="s">
        <v>768</v>
      </c>
      <c r="C15" s="69" t="s">
        <v>26</v>
      </c>
    </row>
    <row r="16" spans="1:3" ht="24.75" customHeight="1">
      <c r="A16" s="74" t="s">
        <v>40</v>
      </c>
      <c r="B16" s="89" t="s">
        <v>754</v>
      </c>
      <c r="C16" s="72"/>
    </row>
    <row r="17" spans="1:3" ht="24.75" customHeight="1">
      <c r="A17" s="74" t="s">
        <v>42</v>
      </c>
      <c r="B17" s="89" t="s">
        <v>755</v>
      </c>
      <c r="C17" s="72"/>
    </row>
    <row r="18" spans="1:3" ht="70.5" customHeight="1">
      <c r="A18" s="74" t="s">
        <v>44</v>
      </c>
      <c r="B18" s="91" t="s">
        <v>626</v>
      </c>
      <c r="C18" s="72"/>
    </row>
    <row r="19" spans="1:3" ht="26.25" customHeight="1">
      <c r="A19" s="74" t="s">
        <v>45</v>
      </c>
      <c r="B19" s="76" t="s">
        <v>627</v>
      </c>
      <c r="C19" s="72"/>
    </row>
    <row r="20" spans="1:3" ht="15.75" customHeight="1">
      <c r="A20" s="74" t="s">
        <v>46</v>
      </c>
      <c r="B20" s="75" t="s">
        <v>48</v>
      </c>
      <c r="C20" s="72"/>
    </row>
    <row r="21" spans="1:3" ht="12.75">
      <c r="A21" s="77" t="s">
        <v>769</v>
      </c>
      <c r="B21" s="78" t="s">
        <v>47</v>
      </c>
      <c r="C21" s="79">
        <f>SUM(C16:C20)</f>
        <v>0</v>
      </c>
    </row>
    <row r="22" spans="1:3" ht="15.75" customHeight="1">
      <c r="A22" s="159" t="s">
        <v>49</v>
      </c>
      <c r="B22" s="159"/>
      <c r="C22" s="81">
        <f>C7+C14+C21</f>
        <v>0</v>
      </c>
    </row>
    <row r="23" spans="1:3" ht="12.75" customHeight="1">
      <c r="A23" s="82"/>
      <c r="B23" s="82"/>
      <c r="C23" s="83"/>
    </row>
    <row r="24" spans="1:3" ht="12.75">
      <c r="A24" s="84"/>
      <c r="B24" s="85"/>
      <c r="C24" s="86"/>
    </row>
    <row r="25" spans="1:3" ht="12.75">
      <c r="A25" s="84"/>
      <c r="B25" s="85"/>
      <c r="C25" s="86"/>
    </row>
    <row r="26" spans="1:3" ht="12.75">
      <c r="A26" s="84"/>
      <c r="B26" s="85"/>
      <c r="C26" s="86"/>
    </row>
    <row r="27" spans="1:3" ht="12.75">
      <c r="A27" s="84"/>
      <c r="B27" s="85"/>
      <c r="C27" s="86"/>
    </row>
    <row r="28" spans="1:3" ht="12.75">
      <c r="A28" s="84"/>
      <c r="B28" s="85"/>
      <c r="C28" s="86"/>
    </row>
    <row r="29" spans="1:3" ht="12.75">
      <c r="A29" s="84"/>
      <c r="B29" s="85"/>
      <c r="C29" s="86"/>
    </row>
    <row r="30" spans="1:3" ht="12.75">
      <c r="A30" s="84"/>
      <c r="B30" s="85"/>
      <c r="C30" s="86"/>
    </row>
    <row r="31" spans="1:3" ht="12.75">
      <c r="A31" s="84"/>
      <c r="B31" s="85"/>
      <c r="C31" s="86"/>
    </row>
    <row r="32" spans="1:3" ht="12.75">
      <c r="A32" s="84"/>
      <c r="B32" s="85"/>
      <c r="C32" s="86"/>
    </row>
    <row r="33" spans="1:3" ht="12.75">
      <c r="A33" s="84"/>
      <c r="B33" s="85"/>
      <c r="C33" s="86"/>
    </row>
    <row r="34" spans="1:3" ht="12.75">
      <c r="A34" s="84"/>
      <c r="B34" s="85"/>
      <c r="C34" s="87"/>
    </row>
    <row r="35" spans="1:3" ht="12.75">
      <c r="A35" s="84"/>
      <c r="B35" s="85"/>
      <c r="C35" s="87"/>
    </row>
    <row r="36" spans="1:3" ht="12.75">
      <c r="A36" s="84"/>
      <c r="B36" s="85"/>
      <c r="C36" s="87"/>
    </row>
    <row r="37" spans="1:3" ht="12.75">
      <c r="A37" s="84"/>
      <c r="B37" s="85"/>
      <c r="C37" s="87"/>
    </row>
    <row r="38" spans="1:3" ht="12.75">
      <c r="A38" s="84"/>
      <c r="B38" s="85"/>
      <c r="C38" s="87"/>
    </row>
    <row r="39" spans="1:3" ht="12.75">
      <c r="A39" s="88"/>
      <c r="B39" s="85"/>
      <c r="C39" s="87"/>
    </row>
    <row r="40" spans="1:3" ht="12.75">
      <c r="A40" s="88"/>
      <c r="B40" s="85"/>
      <c r="C40" s="87"/>
    </row>
    <row r="41" spans="1:3" ht="12.75">
      <c r="A41" s="88"/>
      <c r="B41" s="85"/>
      <c r="C41" s="87"/>
    </row>
    <row r="42" spans="1:3" ht="12.75">
      <c r="A42" s="88"/>
      <c r="B42" s="85"/>
      <c r="C42" s="87"/>
    </row>
    <row r="43" spans="2:3" ht="12.75">
      <c r="B43" s="85"/>
      <c r="C43" s="87"/>
    </row>
    <row r="44" spans="2:3" ht="12.75">
      <c r="B44" s="85"/>
      <c r="C44" s="87"/>
    </row>
    <row r="45" spans="2:3" ht="12.75">
      <c r="B45" s="85"/>
      <c r="C45" s="87"/>
    </row>
    <row r="46" spans="2:3" ht="12.75">
      <c r="B46" s="85"/>
      <c r="C46" s="87"/>
    </row>
    <row r="47" spans="2:3" ht="12.75">
      <c r="B47" s="85"/>
      <c r="C47" s="85"/>
    </row>
    <row r="48" spans="2:3" ht="12.75">
      <c r="B48" s="85"/>
      <c r="C48" s="85"/>
    </row>
    <row r="49" spans="2:3" ht="12.75">
      <c r="B49" s="85"/>
      <c r="C49" s="85"/>
    </row>
    <row r="50" spans="2:3" ht="12.75">
      <c r="B50" s="85"/>
      <c r="C50" s="85"/>
    </row>
    <row r="51" spans="2:3" ht="12.75">
      <c r="B51" s="85"/>
      <c r="C51" s="85"/>
    </row>
    <row r="52" spans="2:3" ht="12.75">
      <c r="B52" s="85"/>
      <c r="C52" s="85"/>
    </row>
    <row r="53" spans="2:3" ht="12.75">
      <c r="B53" s="85"/>
      <c r="C53" s="85"/>
    </row>
    <row r="54" spans="2:3" ht="12.75">
      <c r="B54" s="85"/>
      <c r="C54" s="85"/>
    </row>
    <row r="55" spans="2:3" ht="12.75">
      <c r="B55" s="85"/>
      <c r="C55" s="85"/>
    </row>
    <row r="56" spans="2:3" ht="12.75">
      <c r="B56" s="85"/>
      <c r="C56" s="85"/>
    </row>
    <row r="57" spans="2:3" ht="12.75">
      <c r="B57" s="85"/>
      <c r="C57" s="85"/>
    </row>
    <row r="58" spans="2:3" ht="12.75">
      <c r="B58" s="85"/>
      <c r="C58" s="85"/>
    </row>
    <row r="59" spans="2:3" ht="12.75">
      <c r="B59" s="85"/>
      <c r="C59" s="85"/>
    </row>
    <row r="60" spans="2:3" ht="12.75">
      <c r="B60" s="85"/>
      <c r="C60" s="85"/>
    </row>
    <row r="61" spans="2:3" ht="12.75">
      <c r="B61" s="85"/>
      <c r="C61" s="85"/>
    </row>
    <row r="62" spans="2:3" ht="12.75">
      <c r="B62" s="85"/>
      <c r="C62" s="85"/>
    </row>
    <row r="63" spans="2:3" ht="12.75">
      <c r="B63" s="85"/>
      <c r="C63" s="85"/>
    </row>
    <row r="64" spans="2:3" ht="12.75">
      <c r="B64" s="85"/>
      <c r="C64" s="85"/>
    </row>
    <row r="65" spans="2:3" ht="12.75">
      <c r="B65" s="85"/>
      <c r="C65" s="85"/>
    </row>
    <row r="66" spans="2:3" ht="12.75">
      <c r="B66" s="85"/>
      <c r="C66" s="85"/>
    </row>
    <row r="67" spans="2:3" ht="12.75">
      <c r="B67" s="85"/>
      <c r="C67" s="85"/>
    </row>
    <row r="68" spans="2:3" ht="12.75">
      <c r="B68" s="85"/>
      <c r="C68" s="85"/>
    </row>
    <row r="69" spans="2:3" ht="12.75">
      <c r="B69" s="85"/>
      <c r="C69" s="85"/>
    </row>
    <row r="70" spans="2:3" ht="12.75">
      <c r="B70" s="85"/>
      <c r="C70" s="85"/>
    </row>
    <row r="71" spans="2:3" ht="12.75">
      <c r="B71" s="85"/>
      <c r="C71" s="85"/>
    </row>
    <row r="72" spans="2:3" ht="12.75">
      <c r="B72" s="85"/>
      <c r="C72" s="85"/>
    </row>
    <row r="73" spans="2:3" ht="12.75">
      <c r="B73" s="85"/>
      <c r="C73" s="85"/>
    </row>
    <row r="74" spans="2:3" ht="12.75">
      <c r="B74" s="85"/>
      <c r="C74" s="85"/>
    </row>
    <row r="75" spans="2:3" ht="12.75">
      <c r="B75" s="85"/>
      <c r="C75" s="85"/>
    </row>
    <row r="76" spans="2:3" ht="12.75">
      <c r="B76" s="85"/>
      <c r="C76" s="85"/>
    </row>
    <row r="77" spans="2:3" ht="12.75">
      <c r="B77" s="85"/>
      <c r="C77" s="85"/>
    </row>
    <row r="78" spans="2:3" ht="12.75">
      <c r="B78" s="85"/>
      <c r="C78" s="85"/>
    </row>
    <row r="79" spans="2:3" ht="12.75">
      <c r="B79" s="85"/>
      <c r="C79" s="85"/>
    </row>
    <row r="80" spans="2:3" ht="12.75">
      <c r="B80" s="85"/>
      <c r="C80" s="85"/>
    </row>
    <row r="81" spans="2:3" ht="12.75">
      <c r="B81" s="85"/>
      <c r="C81" s="85"/>
    </row>
    <row r="82" spans="2:3" ht="12.75">
      <c r="B82" s="85"/>
      <c r="C82" s="85"/>
    </row>
    <row r="83" spans="2:3" ht="12.75">
      <c r="B83" s="85"/>
      <c r="C83" s="85"/>
    </row>
    <row r="84" spans="2:3" ht="12.75">
      <c r="B84" s="85"/>
      <c r="C84" s="85"/>
    </row>
    <row r="85" spans="2:3" ht="12.75">
      <c r="B85" s="85"/>
      <c r="C85" s="85"/>
    </row>
    <row r="86" spans="2:3" ht="12.75">
      <c r="B86" s="85"/>
      <c r="C86" s="85"/>
    </row>
    <row r="87" spans="2:3" ht="12.75">
      <c r="B87" s="85"/>
      <c r="C87" s="85"/>
    </row>
    <row r="88" spans="2:3" ht="12.75">
      <c r="B88" s="85"/>
      <c r="C88" s="85"/>
    </row>
    <row r="89" spans="2:3" ht="12.75">
      <c r="B89" s="85"/>
      <c r="C89" s="85"/>
    </row>
    <row r="90" spans="2:3" ht="12.75">
      <c r="B90" s="85"/>
      <c r="C90" s="85"/>
    </row>
    <row r="91" spans="2:3" ht="12.75">
      <c r="B91" s="85"/>
      <c r="C91" s="85"/>
    </row>
    <row r="92" spans="2:3" ht="12.75">
      <c r="B92" s="85"/>
      <c r="C92" s="85"/>
    </row>
    <row r="93" spans="2:3" ht="12.75">
      <c r="B93" s="85"/>
      <c r="C93" s="85"/>
    </row>
    <row r="94" spans="2:3" ht="12.75">
      <c r="B94" s="85"/>
      <c r="C94" s="85"/>
    </row>
    <row r="95" spans="2:3" ht="12.75">
      <c r="B95" s="85"/>
      <c r="C95" s="85"/>
    </row>
    <row r="96" spans="2:3" ht="12.75">
      <c r="B96" s="85"/>
      <c r="C96" s="85"/>
    </row>
    <row r="97" spans="2:3" ht="12.75">
      <c r="B97" s="85"/>
      <c r="C97" s="85"/>
    </row>
    <row r="98" spans="2:3" ht="12.75">
      <c r="B98" s="85"/>
      <c r="C98" s="85"/>
    </row>
    <row r="99" spans="2:3" ht="12.75">
      <c r="B99" s="85"/>
      <c r="C99" s="85"/>
    </row>
    <row r="100" spans="2:3" ht="12.75">
      <c r="B100" s="85"/>
      <c r="C100" s="85"/>
    </row>
    <row r="101" spans="2:3" ht="12.75">
      <c r="B101" s="85"/>
      <c r="C101" s="85"/>
    </row>
    <row r="102" spans="2:3" ht="12.75">
      <c r="B102" s="85"/>
      <c r="C102" s="85"/>
    </row>
    <row r="103" spans="2:3" ht="12.75">
      <c r="B103" s="85"/>
      <c r="C103" s="85"/>
    </row>
    <row r="104" spans="2:3" ht="12.75">
      <c r="B104" s="85"/>
      <c r="C104" s="85"/>
    </row>
    <row r="105" spans="2:3" ht="12.75">
      <c r="B105" s="85"/>
      <c r="C105" s="85"/>
    </row>
    <row r="106" spans="2:3" ht="12.75">
      <c r="B106" s="85"/>
      <c r="C106" s="85"/>
    </row>
    <row r="107" spans="2:3" ht="12.75">
      <c r="B107" s="85"/>
      <c r="C107" s="85"/>
    </row>
    <row r="108" spans="2:3" ht="12.75">
      <c r="B108" s="85"/>
      <c r="C108" s="85"/>
    </row>
    <row r="109" spans="2:3" ht="12.75">
      <c r="B109" s="85"/>
      <c r="C109" s="85"/>
    </row>
    <row r="110" spans="2:3" ht="12.75">
      <c r="B110" s="85"/>
      <c r="C110" s="85"/>
    </row>
    <row r="111" spans="2:3" ht="12.75">
      <c r="B111" s="85"/>
      <c r="C111" s="85"/>
    </row>
    <row r="112" spans="2:3" ht="12.75">
      <c r="B112" s="85"/>
      <c r="C112" s="85"/>
    </row>
    <row r="113" spans="2:3" ht="12.75">
      <c r="B113" s="85"/>
      <c r="C113" s="85"/>
    </row>
    <row r="114" spans="2:3" ht="12.75">
      <c r="B114" s="85"/>
      <c r="C114" s="85"/>
    </row>
    <row r="115" spans="2:3" ht="12.75">
      <c r="B115" s="85"/>
      <c r="C115" s="85"/>
    </row>
    <row r="116" spans="2:3" ht="12.75">
      <c r="B116" s="85"/>
      <c r="C116" s="85"/>
    </row>
    <row r="117" spans="2:3" ht="12.75">
      <c r="B117" s="85"/>
      <c r="C117" s="85"/>
    </row>
    <row r="118" spans="2:3" ht="12.75">
      <c r="B118" s="85"/>
      <c r="C118" s="85"/>
    </row>
    <row r="119" spans="2:3" ht="12.75">
      <c r="B119" s="85"/>
      <c r="C119" s="85"/>
    </row>
    <row r="120" spans="2:3" ht="12.75">
      <c r="B120" s="85"/>
      <c r="C120" s="85"/>
    </row>
    <row r="121" spans="2:3" ht="12.75">
      <c r="B121" s="85"/>
      <c r="C121" s="85"/>
    </row>
    <row r="122" spans="2:3" ht="12.75">
      <c r="B122" s="85"/>
      <c r="C122" s="85"/>
    </row>
    <row r="123" spans="2:3" ht="12.75">
      <c r="B123" s="85"/>
      <c r="C123" s="85"/>
    </row>
    <row r="124" spans="2:3" ht="12.75">
      <c r="B124" s="85"/>
      <c r="C124" s="85"/>
    </row>
    <row r="125" spans="2:3" ht="12.75">
      <c r="B125" s="85"/>
      <c r="C125" s="85"/>
    </row>
    <row r="126" spans="2:3" ht="12.75">
      <c r="B126" s="85"/>
      <c r="C126" s="85"/>
    </row>
    <row r="127" spans="2:3" ht="12.75">
      <c r="B127" s="85"/>
      <c r="C127" s="85"/>
    </row>
    <row r="128" spans="2:3" ht="12.75">
      <c r="B128" s="85"/>
      <c r="C128" s="85"/>
    </row>
    <row r="129" spans="2:3" ht="12.75">
      <c r="B129" s="85"/>
      <c r="C129" s="85"/>
    </row>
    <row r="130" spans="2:3" ht="12.75">
      <c r="B130" s="85"/>
      <c r="C130" s="85"/>
    </row>
    <row r="131" spans="2:3" ht="12.75">
      <c r="B131" s="85"/>
      <c r="C131" s="85"/>
    </row>
    <row r="132" spans="2:3" ht="12.75">
      <c r="B132" s="85"/>
      <c r="C132" s="85"/>
    </row>
    <row r="133" spans="2:3" ht="12.75">
      <c r="B133" s="85"/>
      <c r="C133" s="85"/>
    </row>
    <row r="134" spans="2:3" ht="12.75">
      <c r="B134" s="85"/>
      <c r="C134" s="85"/>
    </row>
    <row r="135" spans="2:3" ht="12.75">
      <c r="B135" s="85"/>
      <c r="C135" s="85"/>
    </row>
    <row r="136" spans="2:3" ht="12.75">
      <c r="B136" s="85"/>
      <c r="C136" s="85"/>
    </row>
    <row r="137" spans="2:3" ht="12.75">
      <c r="B137" s="85"/>
      <c r="C137" s="85"/>
    </row>
    <row r="138" spans="2:3" ht="12.75">
      <c r="B138" s="85"/>
      <c r="C138" s="85"/>
    </row>
    <row r="139" spans="2:3" ht="12.75">
      <c r="B139" s="85"/>
      <c r="C139" s="85"/>
    </row>
    <row r="140" spans="2:3" ht="12.75">
      <c r="B140" s="85"/>
      <c r="C140" s="85"/>
    </row>
    <row r="141" spans="2:3" ht="12.75">
      <c r="B141" s="85"/>
      <c r="C141" s="85"/>
    </row>
    <row r="142" spans="2:3" ht="12.75">
      <c r="B142" s="85"/>
      <c r="C142" s="85"/>
    </row>
    <row r="143" spans="2:3" ht="12.75">
      <c r="B143" s="85"/>
      <c r="C143" s="85"/>
    </row>
    <row r="144" spans="2:3" ht="12.75">
      <c r="B144" s="85"/>
      <c r="C144" s="85"/>
    </row>
    <row r="145" spans="2:3" ht="12.75">
      <c r="B145" s="85"/>
      <c r="C145" s="85"/>
    </row>
    <row r="146" spans="2:3" ht="12.75">
      <c r="B146" s="85"/>
      <c r="C146" s="85"/>
    </row>
    <row r="147" spans="2:3" ht="12.75">
      <c r="B147" s="85"/>
      <c r="C147" s="85"/>
    </row>
    <row r="148" spans="2:3" ht="12.75">
      <c r="B148" s="85"/>
      <c r="C148" s="85"/>
    </row>
    <row r="149" spans="2:3" ht="12.75">
      <c r="B149" s="85"/>
      <c r="C149" s="85"/>
    </row>
    <row r="150" spans="2:3" ht="12.75">
      <c r="B150" s="85"/>
      <c r="C150" s="85"/>
    </row>
    <row r="151" spans="2:3" ht="12.75">
      <c r="B151" s="85"/>
      <c r="C151" s="85"/>
    </row>
    <row r="152" spans="2:3" ht="12.75">
      <c r="B152" s="85"/>
      <c r="C152" s="85"/>
    </row>
    <row r="153" spans="2:3" ht="12.75">
      <c r="B153" s="85"/>
      <c r="C153" s="85"/>
    </row>
    <row r="154" spans="2:3" ht="12.75">
      <c r="B154" s="85"/>
      <c r="C154" s="85"/>
    </row>
    <row r="155" spans="2:3" ht="12.75">
      <c r="B155" s="85"/>
      <c r="C155" s="85"/>
    </row>
    <row r="156" spans="2:3" ht="12.75">
      <c r="B156" s="85"/>
      <c r="C156" s="85"/>
    </row>
    <row r="157" spans="2:3" ht="12.75">
      <c r="B157" s="85"/>
      <c r="C157" s="85"/>
    </row>
    <row r="158" spans="2:3" ht="12.75">
      <c r="B158" s="85"/>
      <c r="C158" s="85"/>
    </row>
    <row r="159" spans="2:3" ht="12.75">
      <c r="B159" s="85"/>
      <c r="C159" s="85"/>
    </row>
    <row r="160" spans="2:3" ht="12.75">
      <c r="B160" s="85"/>
      <c r="C160" s="85"/>
    </row>
    <row r="161" spans="2:3" ht="12.75">
      <c r="B161" s="85"/>
      <c r="C161" s="85"/>
    </row>
    <row r="162" spans="2:3" ht="12.75">
      <c r="B162" s="85"/>
      <c r="C162" s="85"/>
    </row>
    <row r="163" spans="2:3" ht="12.75">
      <c r="B163" s="85"/>
      <c r="C163" s="85"/>
    </row>
    <row r="164" spans="2:3" ht="12.75">
      <c r="B164" s="85"/>
      <c r="C164" s="85"/>
    </row>
    <row r="165" spans="2:3" ht="12.75">
      <c r="B165" s="85"/>
      <c r="C165" s="85"/>
    </row>
    <row r="166" spans="2:3" ht="12.75">
      <c r="B166" s="85"/>
      <c r="C166" s="85"/>
    </row>
    <row r="167" spans="2:3" ht="12.75">
      <c r="B167" s="85"/>
      <c r="C167" s="85"/>
    </row>
    <row r="168" spans="2:3" ht="12.75">
      <c r="B168" s="85"/>
      <c r="C168" s="85"/>
    </row>
    <row r="169" spans="2:3" ht="12.75">
      <c r="B169" s="85"/>
      <c r="C169" s="85"/>
    </row>
    <row r="170" spans="2:3" ht="12.75">
      <c r="B170" s="85"/>
      <c r="C170" s="85"/>
    </row>
    <row r="171" spans="2:3" ht="12.75">
      <c r="B171" s="85"/>
      <c r="C171" s="85"/>
    </row>
    <row r="172" spans="2:3" ht="12.75">
      <c r="B172" s="85"/>
      <c r="C172" s="85"/>
    </row>
    <row r="173" spans="2:3" ht="12.75">
      <c r="B173" s="85"/>
      <c r="C173" s="85"/>
    </row>
    <row r="174" spans="2:3" ht="12.75">
      <c r="B174" s="85"/>
      <c r="C174" s="85"/>
    </row>
    <row r="175" spans="2:3" ht="12.75">
      <c r="B175" s="85"/>
      <c r="C175" s="85"/>
    </row>
    <row r="176" spans="2:3" ht="12.75">
      <c r="B176" s="85"/>
      <c r="C176" s="85"/>
    </row>
    <row r="177" spans="2:3" ht="12.75">
      <c r="B177" s="85"/>
      <c r="C177" s="85"/>
    </row>
    <row r="178" spans="2:3" ht="12.75">
      <c r="B178" s="85"/>
      <c r="C178" s="85"/>
    </row>
    <row r="179" spans="2:3" ht="12.75">
      <c r="B179" s="85"/>
      <c r="C179" s="85"/>
    </row>
    <row r="180" spans="2:3" ht="12.75">
      <c r="B180" s="85"/>
      <c r="C180" s="85"/>
    </row>
    <row r="181" spans="2:3" ht="12.75">
      <c r="B181" s="85"/>
      <c r="C181" s="85"/>
    </row>
    <row r="182" spans="2:3" ht="12.75">
      <c r="B182" s="85"/>
      <c r="C182" s="85"/>
    </row>
    <row r="183" spans="2:3" ht="12.75">
      <c r="B183" s="85"/>
      <c r="C183" s="85"/>
    </row>
    <row r="184" spans="2:3" ht="12.75">
      <c r="B184" s="85"/>
      <c r="C184" s="85"/>
    </row>
    <row r="185" spans="2:3" ht="12.75">
      <c r="B185" s="85"/>
      <c r="C185" s="85"/>
    </row>
    <row r="186" spans="2:3" ht="12.75">
      <c r="B186" s="85"/>
      <c r="C186" s="85"/>
    </row>
    <row r="187" spans="2:3" ht="12.75">
      <c r="B187" s="85"/>
      <c r="C187" s="85"/>
    </row>
    <row r="188" spans="2:3" ht="12.75">
      <c r="B188" s="85"/>
      <c r="C188" s="85"/>
    </row>
    <row r="189" spans="2:3" ht="12.75">
      <c r="B189" s="85"/>
      <c r="C189" s="85"/>
    </row>
    <row r="190" spans="2:3" ht="12.75">
      <c r="B190" s="85"/>
      <c r="C190" s="85"/>
    </row>
    <row r="191" spans="2:3" ht="12.75">
      <c r="B191" s="85"/>
      <c r="C191" s="85"/>
    </row>
    <row r="192" spans="2:3" ht="12.75">
      <c r="B192" s="85"/>
      <c r="C192" s="85"/>
    </row>
    <row r="193" spans="2:3" ht="12.75">
      <c r="B193" s="85"/>
      <c r="C193" s="85"/>
    </row>
    <row r="194" spans="2:3" ht="12.75">
      <c r="B194" s="85"/>
      <c r="C194" s="85"/>
    </row>
    <row r="195" spans="2:3" ht="12.75">
      <c r="B195" s="85"/>
      <c r="C195" s="85"/>
    </row>
    <row r="196" spans="2:3" ht="12.75">
      <c r="B196" s="85"/>
      <c r="C196" s="85"/>
    </row>
    <row r="197" spans="2:3" ht="12.75">
      <c r="B197" s="85"/>
      <c r="C197" s="85"/>
    </row>
    <row r="198" spans="2:3" ht="12.75">
      <c r="B198" s="85"/>
      <c r="C198" s="85"/>
    </row>
    <row r="199" spans="2:3" ht="12.75">
      <c r="B199" s="85"/>
      <c r="C199" s="85"/>
    </row>
  </sheetData>
  <sheetProtection/>
  <protectedRanges>
    <protectedRange sqref="C8:C23" name="Oblast1"/>
    <protectedRange sqref="C3:C7" name="Oblast1_1"/>
  </protectedRanges>
  <mergeCells count="2">
    <mergeCell ref="A1:C1"/>
    <mergeCell ref="A22:B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A1:I35"/>
  <sheetViews>
    <sheetView view="pageBreakPreview" zoomScale="80" zoomScaleSheetLayoutView="80" zoomScalePageLayoutView="0" workbookViewId="0" topLeftCell="A1">
      <selection activeCell="E46" sqref="E46"/>
    </sheetView>
  </sheetViews>
  <sheetFormatPr defaultColWidth="9.00390625" defaultRowHeight="12.75"/>
  <cols>
    <col min="1" max="1" width="5.625" style="131" customWidth="1"/>
    <col min="2" max="2" width="4.375" style="131" customWidth="1"/>
    <col min="3" max="3" width="4.75390625" style="131" customWidth="1"/>
    <col min="4" max="4" width="12.75390625" style="131" customWidth="1"/>
    <col min="5" max="5" width="55.625" style="131" customWidth="1"/>
    <col min="6" max="6" width="4.75390625" style="131" customWidth="1"/>
    <col min="7" max="7" width="9.875" style="131" customWidth="1"/>
    <col min="8" max="8" width="9.75390625" style="131" customWidth="1"/>
    <col min="9" max="9" width="13.625" style="131" customWidth="1"/>
  </cols>
  <sheetData>
    <row r="1" spans="1:9" ht="18">
      <c r="A1" s="95" t="s">
        <v>478</v>
      </c>
      <c r="B1" s="96"/>
      <c r="C1" s="96"/>
      <c r="D1" s="96"/>
      <c r="E1" s="96"/>
      <c r="F1" s="96"/>
      <c r="G1" s="96"/>
      <c r="H1" s="96"/>
      <c r="I1" s="96"/>
    </row>
    <row r="2" spans="1:9" ht="12.75">
      <c r="A2" s="97" t="s">
        <v>479</v>
      </c>
      <c r="B2" s="98"/>
      <c r="C2" s="98" t="str">
        <f>'[13]Krycí list'!E5</f>
        <v>Kolešovice kanalizace</v>
      </c>
      <c r="D2" s="98"/>
      <c r="E2" s="98"/>
      <c r="F2" s="98"/>
      <c r="G2" s="98"/>
      <c r="H2" s="98"/>
      <c r="I2" s="98"/>
    </row>
    <row r="3" spans="1:9" ht="12.75">
      <c r="A3" s="97" t="s">
        <v>480</v>
      </c>
      <c r="B3" s="98"/>
      <c r="C3" s="98" t="s">
        <v>757</v>
      </c>
      <c r="D3" s="98"/>
      <c r="E3" s="98"/>
      <c r="F3" s="98"/>
      <c r="G3" s="98"/>
      <c r="H3" s="98"/>
      <c r="I3" s="98"/>
    </row>
    <row r="4" spans="1:9" ht="12.75">
      <c r="A4" s="97" t="s">
        <v>481</v>
      </c>
      <c r="B4" s="98"/>
      <c r="C4" s="98" t="str">
        <f>'[13]Krycí list'!E9</f>
        <v> </v>
      </c>
      <c r="D4" s="98"/>
      <c r="E4" s="98"/>
      <c r="F4" s="98"/>
      <c r="G4" s="98"/>
      <c r="H4" s="98"/>
      <c r="I4" s="98"/>
    </row>
    <row r="5" spans="1:9" ht="12.75">
      <c r="A5" s="98" t="s">
        <v>482</v>
      </c>
      <c r="B5" s="98"/>
      <c r="C5" s="98" t="str">
        <f>'[13]Krycí list'!P5</f>
        <v> </v>
      </c>
      <c r="D5" s="98"/>
      <c r="E5" s="98"/>
      <c r="F5" s="98"/>
      <c r="G5" s="98"/>
      <c r="H5" s="98"/>
      <c r="I5" s="98"/>
    </row>
    <row r="6" spans="1:9" ht="12.75">
      <c r="A6" s="98"/>
      <c r="B6" s="98"/>
      <c r="C6" s="98"/>
      <c r="D6" s="98"/>
      <c r="E6" s="98"/>
      <c r="F6" s="98"/>
      <c r="G6" s="98"/>
      <c r="H6" s="98"/>
      <c r="I6" s="98"/>
    </row>
    <row r="7" spans="1:9" ht="12.75">
      <c r="A7" s="98" t="s">
        <v>483</v>
      </c>
      <c r="B7" s="98"/>
      <c r="C7" s="98" t="str">
        <f>'[13]Krycí list'!E26</f>
        <v> </v>
      </c>
      <c r="D7" s="98"/>
      <c r="E7" s="98"/>
      <c r="F7" s="98"/>
      <c r="G7" s="98"/>
      <c r="H7" s="98"/>
      <c r="I7" s="98"/>
    </row>
    <row r="8" spans="1:9" ht="12.75">
      <c r="A8" s="98" t="s">
        <v>484</v>
      </c>
      <c r="B8" s="98"/>
      <c r="C8" s="98" t="str">
        <f>'[13]Krycí list'!E28</f>
        <v> </v>
      </c>
      <c r="D8" s="98"/>
      <c r="E8" s="98"/>
      <c r="F8" s="98"/>
      <c r="G8" s="98"/>
      <c r="H8" s="98"/>
      <c r="I8" s="98"/>
    </row>
    <row r="9" spans="1:9" ht="12.75">
      <c r="A9" s="98" t="s">
        <v>485</v>
      </c>
      <c r="B9" s="98"/>
      <c r="C9" s="98" t="s">
        <v>486</v>
      </c>
      <c r="D9" s="98"/>
      <c r="E9" s="98"/>
      <c r="F9" s="98"/>
      <c r="G9" s="98"/>
      <c r="H9" s="98"/>
      <c r="I9" s="98"/>
    </row>
    <row r="10" spans="1:9" ht="12.75">
      <c r="A10" s="96"/>
      <c r="B10" s="96"/>
      <c r="C10" s="96"/>
      <c r="D10" s="96"/>
      <c r="E10" s="96"/>
      <c r="F10" s="96"/>
      <c r="G10" s="96"/>
      <c r="H10" s="96"/>
      <c r="I10" s="96"/>
    </row>
    <row r="11" spans="1:9" ht="22.5">
      <c r="A11" s="99" t="s">
        <v>79</v>
      </c>
      <c r="B11" s="100" t="s">
        <v>487</v>
      </c>
      <c r="C11" s="100" t="s">
        <v>80</v>
      </c>
      <c r="D11" s="100" t="s">
        <v>81</v>
      </c>
      <c r="E11" s="100" t="s">
        <v>82</v>
      </c>
      <c r="F11" s="100" t="s">
        <v>2</v>
      </c>
      <c r="G11" s="100" t="s">
        <v>83</v>
      </c>
      <c r="H11" s="100" t="s">
        <v>84</v>
      </c>
      <c r="I11" s="100" t="s">
        <v>18</v>
      </c>
    </row>
    <row r="12" spans="1:9" ht="12.75">
      <c r="A12" s="101">
        <v>1</v>
      </c>
      <c r="B12" s="102">
        <v>2</v>
      </c>
      <c r="C12" s="102">
        <v>3</v>
      </c>
      <c r="D12" s="102">
        <v>4</v>
      </c>
      <c r="E12" s="102">
        <v>5</v>
      </c>
      <c r="F12" s="102">
        <v>6</v>
      </c>
      <c r="G12" s="102">
        <v>7</v>
      </c>
      <c r="H12" s="102">
        <v>8</v>
      </c>
      <c r="I12" s="102">
        <v>9</v>
      </c>
    </row>
    <row r="13" spans="1:9" ht="12.75">
      <c r="A13" s="96"/>
      <c r="B13" s="96"/>
      <c r="C13" s="96"/>
      <c r="D13" s="96"/>
      <c r="E13" s="96"/>
      <c r="F13" s="96"/>
      <c r="G13" s="96"/>
      <c r="H13" s="96"/>
      <c r="I13" s="96"/>
    </row>
    <row r="14" spans="1:9" ht="12.75">
      <c r="A14" s="145"/>
      <c r="B14" s="145" t="s">
        <v>488</v>
      </c>
      <c r="C14" s="145"/>
      <c r="D14" s="145">
        <v>1</v>
      </c>
      <c r="E14" s="145" t="s">
        <v>71</v>
      </c>
      <c r="F14" s="145"/>
      <c r="G14" s="145"/>
      <c r="H14" s="145"/>
      <c r="I14" s="147">
        <f>SUM(I15:I32)</f>
        <v>0</v>
      </c>
    </row>
    <row r="15" spans="1:9" ht="45">
      <c r="A15" s="110">
        <v>1</v>
      </c>
      <c r="B15" s="110" t="s">
        <v>489</v>
      </c>
      <c r="C15" s="110" t="s">
        <v>493</v>
      </c>
      <c r="D15" s="111">
        <v>439</v>
      </c>
      <c r="E15" s="146" t="s">
        <v>750</v>
      </c>
      <c r="F15" s="110" t="s">
        <v>72</v>
      </c>
      <c r="G15" s="113">
        <v>2</v>
      </c>
      <c r="H15" s="114"/>
      <c r="I15" s="114">
        <f>H15*G15</f>
        <v>0</v>
      </c>
    </row>
    <row r="16" spans="1:9" ht="12.75">
      <c r="A16" s="110">
        <v>2</v>
      </c>
      <c r="B16" s="110" t="s">
        <v>489</v>
      </c>
      <c r="C16" s="110" t="s">
        <v>493</v>
      </c>
      <c r="D16" s="111">
        <v>440</v>
      </c>
      <c r="E16" s="146" t="s">
        <v>73</v>
      </c>
      <c r="F16" s="110" t="s">
        <v>72</v>
      </c>
      <c r="G16" s="113">
        <v>2</v>
      </c>
      <c r="H16" s="114"/>
      <c r="I16" s="114">
        <f>H16*G16</f>
        <v>0</v>
      </c>
    </row>
    <row r="17" spans="1:9" ht="12.75">
      <c r="A17" s="110">
        <v>3</v>
      </c>
      <c r="B17" s="110" t="s">
        <v>489</v>
      </c>
      <c r="C17" s="110" t="s">
        <v>493</v>
      </c>
      <c r="D17" s="111">
        <v>535</v>
      </c>
      <c r="E17" s="146" t="s">
        <v>628</v>
      </c>
      <c r="F17" s="110" t="s">
        <v>72</v>
      </c>
      <c r="G17" s="113">
        <v>2</v>
      </c>
      <c r="H17" s="114"/>
      <c r="I17" s="114">
        <f>H17*G17</f>
        <v>0</v>
      </c>
    </row>
    <row r="18" spans="1:9" ht="12.75">
      <c r="A18" s="110">
        <v>4</v>
      </c>
      <c r="B18" s="110" t="s">
        <v>489</v>
      </c>
      <c r="C18" s="110" t="s">
        <v>493</v>
      </c>
      <c r="D18" s="115">
        <v>536</v>
      </c>
      <c r="E18" s="146" t="s">
        <v>629</v>
      </c>
      <c r="F18" s="110" t="s">
        <v>72</v>
      </c>
      <c r="G18" s="113">
        <v>3</v>
      </c>
      <c r="H18" s="114"/>
      <c r="I18" s="114">
        <f>H18*G18</f>
        <v>0</v>
      </c>
    </row>
    <row r="19" spans="1:9" ht="12.75">
      <c r="A19" s="110">
        <v>5</v>
      </c>
      <c r="B19" s="110" t="s">
        <v>489</v>
      </c>
      <c r="C19" s="110" t="s">
        <v>493</v>
      </c>
      <c r="D19" s="111">
        <v>537</v>
      </c>
      <c r="E19" s="146" t="s">
        <v>630</v>
      </c>
      <c r="F19" s="110" t="s">
        <v>72</v>
      </c>
      <c r="G19" s="113">
        <v>1</v>
      </c>
      <c r="H19" s="114"/>
      <c r="I19" s="114">
        <f aca="true" t="shared" si="0" ref="I19:I31">H19*G19</f>
        <v>0</v>
      </c>
    </row>
    <row r="20" spans="1:9" ht="12.75">
      <c r="A20" s="110">
        <v>6</v>
      </c>
      <c r="B20" s="110" t="s">
        <v>489</v>
      </c>
      <c r="C20" s="110" t="s">
        <v>493</v>
      </c>
      <c r="D20" s="111">
        <v>538</v>
      </c>
      <c r="E20" s="146" t="s">
        <v>631</v>
      </c>
      <c r="F20" s="110" t="s">
        <v>75</v>
      </c>
      <c r="G20" s="113">
        <v>8.5</v>
      </c>
      <c r="H20" s="114"/>
      <c r="I20" s="114">
        <f t="shared" si="0"/>
        <v>0</v>
      </c>
    </row>
    <row r="21" spans="1:9" ht="12.75">
      <c r="A21" s="110">
        <v>7</v>
      </c>
      <c r="B21" s="110" t="s">
        <v>489</v>
      </c>
      <c r="C21" s="110" t="s">
        <v>493</v>
      </c>
      <c r="D21" s="117">
        <v>539</v>
      </c>
      <c r="E21" s="146" t="s">
        <v>632</v>
      </c>
      <c r="F21" s="110" t="s">
        <v>75</v>
      </c>
      <c r="G21" s="113">
        <v>4</v>
      </c>
      <c r="H21" s="114"/>
      <c r="I21" s="114">
        <f t="shared" si="0"/>
        <v>0</v>
      </c>
    </row>
    <row r="22" spans="1:9" ht="12.75">
      <c r="A22" s="110">
        <v>8</v>
      </c>
      <c r="B22" s="110" t="s">
        <v>489</v>
      </c>
      <c r="C22" s="110" t="s">
        <v>493</v>
      </c>
      <c r="D22" s="115">
        <v>540</v>
      </c>
      <c r="E22" s="146" t="s">
        <v>633</v>
      </c>
      <c r="F22" s="110" t="s">
        <v>72</v>
      </c>
      <c r="G22" s="113">
        <v>4</v>
      </c>
      <c r="H22" s="114"/>
      <c r="I22" s="114">
        <f t="shared" si="0"/>
        <v>0</v>
      </c>
    </row>
    <row r="23" spans="1:9" ht="12.75">
      <c r="A23" s="110">
        <v>9</v>
      </c>
      <c r="B23" s="110" t="s">
        <v>489</v>
      </c>
      <c r="C23" s="110" t="s">
        <v>493</v>
      </c>
      <c r="D23" s="117">
        <v>541</v>
      </c>
      <c r="E23" s="146" t="s">
        <v>634</v>
      </c>
      <c r="F23" s="110" t="s">
        <v>72</v>
      </c>
      <c r="G23" s="113">
        <v>1</v>
      </c>
      <c r="H23" s="114"/>
      <c r="I23" s="114">
        <f t="shared" si="0"/>
        <v>0</v>
      </c>
    </row>
    <row r="24" spans="1:9" ht="12.75">
      <c r="A24" s="110">
        <v>10</v>
      </c>
      <c r="B24" s="110" t="s">
        <v>489</v>
      </c>
      <c r="C24" s="110" t="s">
        <v>493</v>
      </c>
      <c r="D24" s="115">
        <v>542</v>
      </c>
      <c r="E24" s="146" t="s">
        <v>635</v>
      </c>
      <c r="F24" s="110" t="s">
        <v>72</v>
      </c>
      <c r="G24" s="113">
        <v>1</v>
      </c>
      <c r="H24" s="114"/>
      <c r="I24" s="114">
        <f t="shared" si="0"/>
        <v>0</v>
      </c>
    </row>
    <row r="25" spans="1:9" ht="12.75">
      <c r="A25" s="110">
        <v>11</v>
      </c>
      <c r="B25" s="110" t="s">
        <v>489</v>
      </c>
      <c r="C25" s="110" t="s">
        <v>493</v>
      </c>
      <c r="D25" s="111">
        <v>543</v>
      </c>
      <c r="E25" s="146" t="s">
        <v>636</v>
      </c>
      <c r="F25" s="110" t="s">
        <v>72</v>
      </c>
      <c r="G25" s="113">
        <v>10</v>
      </c>
      <c r="H25" s="114"/>
      <c r="I25" s="114">
        <f t="shared" si="0"/>
        <v>0</v>
      </c>
    </row>
    <row r="26" spans="1:9" ht="12.75">
      <c r="A26" s="110">
        <v>12</v>
      </c>
      <c r="B26" s="110" t="s">
        <v>489</v>
      </c>
      <c r="C26" s="110" t="s">
        <v>493</v>
      </c>
      <c r="D26" s="115">
        <v>544</v>
      </c>
      <c r="E26" s="146" t="s">
        <v>637</v>
      </c>
      <c r="F26" s="110" t="s">
        <v>72</v>
      </c>
      <c r="G26" s="113">
        <v>6</v>
      </c>
      <c r="H26" s="114"/>
      <c r="I26" s="114">
        <f t="shared" si="0"/>
        <v>0</v>
      </c>
    </row>
    <row r="27" spans="1:9" ht="12.75">
      <c r="A27" s="110">
        <v>13</v>
      </c>
      <c r="B27" s="110" t="s">
        <v>489</v>
      </c>
      <c r="C27" s="110" t="s">
        <v>493</v>
      </c>
      <c r="D27" s="111">
        <v>545</v>
      </c>
      <c r="E27" s="146" t="s">
        <v>638</v>
      </c>
      <c r="F27" s="110" t="s">
        <v>72</v>
      </c>
      <c r="G27" s="113">
        <v>3</v>
      </c>
      <c r="H27" s="114"/>
      <c r="I27" s="114">
        <f t="shared" si="0"/>
        <v>0</v>
      </c>
    </row>
    <row r="28" spans="1:9" ht="12.75">
      <c r="A28" s="110">
        <v>14</v>
      </c>
      <c r="B28" s="110" t="s">
        <v>489</v>
      </c>
      <c r="C28" s="110" t="s">
        <v>493</v>
      </c>
      <c r="D28" s="115">
        <v>712</v>
      </c>
      <c r="E28" s="146" t="s">
        <v>76</v>
      </c>
      <c r="F28" s="110" t="s">
        <v>72</v>
      </c>
      <c r="G28" s="113">
        <v>1</v>
      </c>
      <c r="H28" s="114"/>
      <c r="I28" s="114">
        <f t="shared" si="0"/>
        <v>0</v>
      </c>
    </row>
    <row r="29" spans="1:9" ht="12.75">
      <c r="A29" s="110">
        <v>15</v>
      </c>
      <c r="B29" s="110" t="s">
        <v>489</v>
      </c>
      <c r="C29" s="110" t="s">
        <v>493</v>
      </c>
      <c r="D29" s="111">
        <v>713</v>
      </c>
      <c r="E29" s="146" t="s">
        <v>639</v>
      </c>
      <c r="F29" s="110" t="s">
        <v>72</v>
      </c>
      <c r="G29" s="113">
        <v>1</v>
      </c>
      <c r="H29" s="114"/>
      <c r="I29" s="114">
        <f t="shared" si="0"/>
        <v>0</v>
      </c>
    </row>
    <row r="30" spans="1:9" ht="12.75">
      <c r="A30" s="110">
        <v>16</v>
      </c>
      <c r="B30" s="110" t="s">
        <v>489</v>
      </c>
      <c r="C30" s="110" t="s">
        <v>493</v>
      </c>
      <c r="D30" s="111">
        <v>715</v>
      </c>
      <c r="E30" s="146" t="s">
        <v>760</v>
      </c>
      <c r="F30" s="110" t="s">
        <v>72</v>
      </c>
      <c r="G30" s="113">
        <v>2</v>
      </c>
      <c r="H30" s="114"/>
      <c r="I30" s="114">
        <f t="shared" si="0"/>
        <v>0</v>
      </c>
    </row>
    <row r="31" spans="1:9" ht="12.75">
      <c r="A31" s="110">
        <v>17</v>
      </c>
      <c r="B31" s="110" t="s">
        <v>489</v>
      </c>
      <c r="C31" s="110" t="s">
        <v>493</v>
      </c>
      <c r="D31" s="115">
        <v>722</v>
      </c>
      <c r="E31" s="146" t="s">
        <v>752</v>
      </c>
      <c r="F31" s="110" t="s">
        <v>72</v>
      </c>
      <c r="G31" s="113">
        <v>1</v>
      </c>
      <c r="H31" s="114"/>
      <c r="I31" s="114">
        <f t="shared" si="0"/>
        <v>0</v>
      </c>
    </row>
    <row r="32" spans="1:9" ht="12.75">
      <c r="A32" s="110">
        <v>18</v>
      </c>
      <c r="B32" s="110" t="s">
        <v>489</v>
      </c>
      <c r="C32" s="110" t="s">
        <v>493</v>
      </c>
      <c r="D32" s="111">
        <v>441</v>
      </c>
      <c r="E32" s="146" t="s">
        <v>77</v>
      </c>
      <c r="F32" s="110" t="s">
        <v>72</v>
      </c>
      <c r="G32" s="113">
        <v>1</v>
      </c>
      <c r="H32" s="114"/>
      <c r="I32" s="114">
        <f>H32*G32</f>
        <v>0</v>
      </c>
    </row>
    <row r="33" spans="1:9" ht="12.75">
      <c r="A33" s="111"/>
      <c r="B33" s="111"/>
      <c r="C33" s="111"/>
      <c r="D33" s="115"/>
      <c r="E33" s="115"/>
      <c r="F33" s="111"/>
      <c r="G33" s="116"/>
      <c r="H33" s="111"/>
      <c r="I33" s="111"/>
    </row>
    <row r="34" spans="1:9" ht="12.75">
      <c r="A34" s="110"/>
      <c r="B34" s="110"/>
      <c r="C34" s="110"/>
      <c r="D34" s="111"/>
      <c r="E34" s="112"/>
      <c r="F34" s="110"/>
      <c r="G34" s="113"/>
      <c r="H34" s="114"/>
      <c r="I34" s="114"/>
    </row>
    <row r="35" spans="1:9" ht="12.75">
      <c r="A35" s="128"/>
      <c r="B35" s="128"/>
      <c r="C35" s="128"/>
      <c r="D35" s="128"/>
      <c r="E35" s="129" t="s">
        <v>270</v>
      </c>
      <c r="F35" s="128"/>
      <c r="G35" s="128"/>
      <c r="H35" s="128"/>
      <c r="I35" s="130">
        <f>SUM(I15:I32)</f>
        <v>0</v>
      </c>
    </row>
  </sheetData>
  <sheetProtection/>
  <protectedRanges>
    <protectedRange sqref="H15:I32" name="Oblast1_1"/>
  </protectedRanges>
  <printOptions/>
  <pageMargins left="0.7874015748031497" right="0.5905511811023623" top="0.984251968503937" bottom="0.984251968503937" header="0.5118110236220472" footer="0.5118110236220472"/>
  <pageSetup fitToHeight="1" fitToWidth="1" horizontalDpi="600" verticalDpi="600" orientation="portrait" paperSize="9" scale="74" r:id="rId2"/>
  <rowBreaks count="2" manualBreakCount="2">
    <brk id="26" max="255" man="1"/>
    <brk id="60" max="11" man="1"/>
  </rowBreaks>
  <drawing r:id="rId1"/>
</worksheet>
</file>

<file path=xl/worksheets/sheet4.xml><?xml version="1.0" encoding="utf-8"?>
<worksheet xmlns="http://schemas.openxmlformats.org/spreadsheetml/2006/main" xmlns:r="http://schemas.openxmlformats.org/officeDocument/2006/relationships">
  <sheetPr>
    <tabColor theme="8"/>
  </sheetPr>
  <dimension ref="A1:IV35"/>
  <sheetViews>
    <sheetView zoomScalePageLayoutView="0" workbookViewId="0" topLeftCell="E7">
      <selection activeCell="H15" sqref="H15:H32"/>
    </sheetView>
  </sheetViews>
  <sheetFormatPr defaultColWidth="9.00390625" defaultRowHeight="12.75"/>
  <cols>
    <col min="1" max="1" width="5.625" style="131" customWidth="1"/>
    <col min="2" max="2" width="4.375" style="131" customWidth="1"/>
    <col min="3" max="3" width="4.75390625" style="131" customWidth="1"/>
    <col min="4" max="4" width="12.75390625" style="131" customWidth="1"/>
    <col min="5" max="5" width="55.625" style="131" customWidth="1"/>
    <col min="6" max="6" width="4.75390625" style="131" customWidth="1"/>
    <col min="7" max="7" width="9.875" style="131" customWidth="1"/>
    <col min="8" max="8" width="9.75390625" style="131" customWidth="1"/>
    <col min="9" max="9" width="13.625" style="131" customWidth="1"/>
  </cols>
  <sheetData>
    <row r="1" spans="1:9" ht="18">
      <c r="A1" s="95" t="s">
        <v>478</v>
      </c>
      <c r="B1" s="96"/>
      <c r="C1" s="96"/>
      <c r="D1" s="96"/>
      <c r="E1" s="96"/>
      <c r="F1" s="96"/>
      <c r="G1" s="96"/>
      <c r="H1" s="96"/>
      <c r="I1" s="96"/>
    </row>
    <row r="2" spans="1:9" ht="12.75">
      <c r="A2" s="97" t="s">
        <v>479</v>
      </c>
      <c r="B2" s="98"/>
      <c r="C2" s="98" t="str">
        <f>'[13]Krycí list'!E5</f>
        <v>Kolešovice kanalizace</v>
      </c>
      <c r="D2" s="98"/>
      <c r="E2" s="98"/>
      <c r="F2" s="98"/>
      <c r="G2" s="98"/>
      <c r="H2" s="98"/>
      <c r="I2" s="98"/>
    </row>
    <row r="3" spans="1:9" ht="12.75">
      <c r="A3" s="97" t="s">
        <v>480</v>
      </c>
      <c r="B3" s="98"/>
      <c r="C3" s="98" t="s">
        <v>756</v>
      </c>
      <c r="D3" s="98"/>
      <c r="E3" s="98"/>
      <c r="F3" s="98"/>
      <c r="G3" s="98"/>
      <c r="H3" s="98"/>
      <c r="I3" s="98"/>
    </row>
    <row r="4" spans="1:9" ht="12.75">
      <c r="A4" s="97" t="s">
        <v>481</v>
      </c>
      <c r="B4" s="98"/>
      <c r="C4" s="98" t="str">
        <f>'[13]Krycí list'!E9</f>
        <v> </v>
      </c>
      <c r="D4" s="98"/>
      <c r="E4" s="98"/>
      <c r="F4" s="98"/>
      <c r="G4" s="98"/>
      <c r="H4" s="98"/>
      <c r="I4" s="98"/>
    </row>
    <row r="5" spans="1:9" ht="12.75">
      <c r="A5" s="98" t="s">
        <v>482</v>
      </c>
      <c r="B5" s="98"/>
      <c r="C5" s="98" t="str">
        <f>'[13]Krycí list'!P5</f>
        <v> </v>
      </c>
      <c r="D5" s="98"/>
      <c r="E5" s="98"/>
      <c r="F5" s="98"/>
      <c r="G5" s="98"/>
      <c r="H5" s="98"/>
      <c r="I5" s="98"/>
    </row>
    <row r="6" spans="1:9" ht="12.75">
      <c r="A6" s="98"/>
      <c r="B6" s="98"/>
      <c r="C6" s="98"/>
      <c r="D6" s="98"/>
      <c r="E6" s="98"/>
      <c r="F6" s="98"/>
      <c r="G6" s="98"/>
      <c r="H6" s="98"/>
      <c r="I6" s="98"/>
    </row>
    <row r="7" spans="1:9" ht="12.75">
      <c r="A7" s="98" t="s">
        <v>483</v>
      </c>
      <c r="B7" s="98"/>
      <c r="C7" s="98" t="str">
        <f>'[13]Krycí list'!E26</f>
        <v> </v>
      </c>
      <c r="D7" s="98"/>
      <c r="E7" s="98"/>
      <c r="F7" s="98"/>
      <c r="G7" s="98"/>
      <c r="H7" s="98"/>
      <c r="I7" s="98"/>
    </row>
    <row r="8" spans="1:9" ht="12.75">
      <c r="A8" s="98" t="s">
        <v>484</v>
      </c>
      <c r="B8" s="98"/>
      <c r="C8" s="98" t="str">
        <f>'[13]Krycí list'!E28</f>
        <v> </v>
      </c>
      <c r="D8" s="98"/>
      <c r="E8" s="98"/>
      <c r="F8" s="98"/>
      <c r="G8" s="98"/>
      <c r="H8" s="98"/>
      <c r="I8" s="98"/>
    </row>
    <row r="9" spans="1:9" ht="12.75">
      <c r="A9" s="98" t="s">
        <v>485</v>
      </c>
      <c r="B9" s="98"/>
      <c r="C9" s="98" t="s">
        <v>486</v>
      </c>
      <c r="D9" s="98"/>
      <c r="E9" s="98"/>
      <c r="F9" s="98"/>
      <c r="G9" s="98"/>
      <c r="H9" s="98"/>
      <c r="I9" s="98"/>
    </row>
    <row r="10" spans="1:9" ht="12.75">
      <c r="A10" s="96"/>
      <c r="B10" s="96"/>
      <c r="C10" s="96"/>
      <c r="D10" s="96"/>
      <c r="E10" s="96"/>
      <c r="F10" s="96"/>
      <c r="G10" s="96"/>
      <c r="H10" s="96"/>
      <c r="I10" s="96"/>
    </row>
    <row r="11" spans="1:9" ht="22.5">
      <c r="A11" s="99" t="s">
        <v>79</v>
      </c>
      <c r="B11" s="100" t="s">
        <v>487</v>
      </c>
      <c r="C11" s="100" t="s">
        <v>80</v>
      </c>
      <c r="D11" s="100" t="s">
        <v>81</v>
      </c>
      <c r="E11" s="100" t="s">
        <v>82</v>
      </c>
      <c r="F11" s="100" t="s">
        <v>2</v>
      </c>
      <c r="G11" s="100" t="s">
        <v>83</v>
      </c>
      <c r="H11" s="100" t="s">
        <v>84</v>
      </c>
      <c r="I11" s="100" t="s">
        <v>18</v>
      </c>
    </row>
    <row r="12" spans="1:9" ht="12.75">
      <c r="A12" s="101">
        <v>1</v>
      </c>
      <c r="B12" s="102">
        <v>2</v>
      </c>
      <c r="C12" s="102">
        <v>3</v>
      </c>
      <c r="D12" s="102">
        <v>4</v>
      </c>
      <c r="E12" s="102">
        <v>5</v>
      </c>
      <c r="F12" s="102">
        <v>6</v>
      </c>
      <c r="G12" s="102">
        <v>7</v>
      </c>
      <c r="H12" s="102">
        <v>8</v>
      </c>
      <c r="I12" s="102">
        <v>9</v>
      </c>
    </row>
    <row r="13" spans="1:9" ht="12.75">
      <c r="A13" s="96"/>
      <c r="B13" s="96"/>
      <c r="C13" s="96"/>
      <c r="D13" s="96"/>
      <c r="E13" s="96"/>
      <c r="F13" s="96"/>
      <c r="G13" s="96"/>
      <c r="H13" s="96"/>
      <c r="I13" s="96"/>
    </row>
    <row r="14" spans="1:9" ht="12.75">
      <c r="A14" s="145"/>
      <c r="B14" s="145" t="s">
        <v>488</v>
      </c>
      <c r="C14" s="145"/>
      <c r="D14" s="145">
        <v>1</v>
      </c>
      <c r="E14" s="145" t="s">
        <v>78</v>
      </c>
      <c r="F14" s="145"/>
      <c r="G14" s="145"/>
      <c r="H14" s="145"/>
      <c r="I14" s="147">
        <f>SUM(I15:I32)</f>
        <v>0</v>
      </c>
    </row>
    <row r="15" spans="1:9" ht="45">
      <c r="A15" s="110">
        <v>1</v>
      </c>
      <c r="B15" s="110" t="s">
        <v>489</v>
      </c>
      <c r="C15" s="110" t="s">
        <v>493</v>
      </c>
      <c r="D15" s="111">
        <v>439</v>
      </c>
      <c r="E15" s="146" t="s">
        <v>750</v>
      </c>
      <c r="F15" s="110" t="s">
        <v>72</v>
      </c>
      <c r="G15" s="113">
        <v>2</v>
      </c>
      <c r="H15" s="114"/>
      <c r="I15" s="114">
        <f>H15*G15</f>
        <v>0</v>
      </c>
    </row>
    <row r="16" spans="1:9" ht="12.75">
      <c r="A16" s="110">
        <v>2</v>
      </c>
      <c r="B16" s="110" t="s">
        <v>489</v>
      </c>
      <c r="C16" s="110" t="s">
        <v>493</v>
      </c>
      <c r="D16" s="111">
        <v>440</v>
      </c>
      <c r="E16" s="146" t="s">
        <v>73</v>
      </c>
      <c r="F16" s="110" t="s">
        <v>72</v>
      </c>
      <c r="G16" s="113">
        <v>2</v>
      </c>
      <c r="H16" s="114"/>
      <c r="I16" s="114">
        <f>H16*G16</f>
        <v>0</v>
      </c>
    </row>
    <row r="17" spans="1:9" ht="12.75">
      <c r="A17" s="110">
        <v>3</v>
      </c>
      <c r="B17" s="110" t="s">
        <v>489</v>
      </c>
      <c r="C17" s="110" t="s">
        <v>493</v>
      </c>
      <c r="D17" s="111">
        <v>535</v>
      </c>
      <c r="E17" s="146" t="s">
        <v>628</v>
      </c>
      <c r="F17" s="110" t="s">
        <v>72</v>
      </c>
      <c r="G17" s="113">
        <v>2</v>
      </c>
      <c r="H17" s="114"/>
      <c r="I17" s="114">
        <f>H17*G17</f>
        <v>0</v>
      </c>
    </row>
    <row r="18" spans="1:9" ht="12.75">
      <c r="A18" s="110">
        <v>4</v>
      </c>
      <c r="B18" s="110" t="s">
        <v>489</v>
      </c>
      <c r="C18" s="110" t="s">
        <v>493</v>
      </c>
      <c r="D18" s="115">
        <v>536</v>
      </c>
      <c r="E18" s="146" t="s">
        <v>629</v>
      </c>
      <c r="F18" s="110" t="s">
        <v>72</v>
      </c>
      <c r="G18" s="113">
        <v>3</v>
      </c>
      <c r="H18" s="114"/>
      <c r="I18" s="114">
        <f>H18*G18</f>
        <v>0</v>
      </c>
    </row>
    <row r="19" spans="1:9" ht="12.75">
      <c r="A19" s="110">
        <v>5</v>
      </c>
      <c r="B19" s="110" t="s">
        <v>489</v>
      </c>
      <c r="C19" s="110" t="s">
        <v>493</v>
      </c>
      <c r="D19" s="111">
        <v>537</v>
      </c>
      <c r="E19" s="146" t="s">
        <v>630</v>
      </c>
      <c r="F19" s="110" t="s">
        <v>72</v>
      </c>
      <c r="G19" s="113">
        <v>1</v>
      </c>
      <c r="H19" s="114"/>
      <c r="I19" s="114">
        <f aca="true" t="shared" si="0" ref="I19:I31">H19*G19</f>
        <v>0</v>
      </c>
    </row>
    <row r="20" spans="1:9" ht="12.75">
      <c r="A20" s="110">
        <v>6</v>
      </c>
      <c r="B20" s="110" t="s">
        <v>489</v>
      </c>
      <c r="C20" s="110" t="s">
        <v>493</v>
      </c>
      <c r="D20" s="111">
        <v>538</v>
      </c>
      <c r="E20" s="146" t="s">
        <v>631</v>
      </c>
      <c r="F20" s="110" t="s">
        <v>75</v>
      </c>
      <c r="G20" s="113">
        <v>8.5</v>
      </c>
      <c r="H20" s="114"/>
      <c r="I20" s="114">
        <f t="shared" si="0"/>
        <v>0</v>
      </c>
    </row>
    <row r="21" spans="1:9" ht="12.75">
      <c r="A21" s="110">
        <v>7</v>
      </c>
      <c r="B21" s="110" t="s">
        <v>489</v>
      </c>
      <c r="C21" s="110" t="s">
        <v>493</v>
      </c>
      <c r="D21" s="117">
        <v>539</v>
      </c>
      <c r="E21" s="146" t="s">
        <v>632</v>
      </c>
      <c r="F21" s="110" t="s">
        <v>75</v>
      </c>
      <c r="G21" s="113">
        <v>4</v>
      </c>
      <c r="H21" s="114"/>
      <c r="I21" s="114">
        <f t="shared" si="0"/>
        <v>0</v>
      </c>
    </row>
    <row r="22" spans="1:9" ht="12.75">
      <c r="A22" s="110">
        <v>8</v>
      </c>
      <c r="B22" s="110" t="s">
        <v>489</v>
      </c>
      <c r="C22" s="110" t="s">
        <v>493</v>
      </c>
      <c r="D22" s="115">
        <v>540</v>
      </c>
      <c r="E22" s="146" t="s">
        <v>633</v>
      </c>
      <c r="F22" s="110" t="s">
        <v>72</v>
      </c>
      <c r="G22" s="113">
        <v>4</v>
      </c>
      <c r="H22" s="114"/>
      <c r="I22" s="114">
        <f t="shared" si="0"/>
        <v>0</v>
      </c>
    </row>
    <row r="23" spans="1:9" ht="12.75">
      <c r="A23" s="110">
        <v>9</v>
      </c>
      <c r="B23" s="110" t="s">
        <v>489</v>
      </c>
      <c r="C23" s="110" t="s">
        <v>493</v>
      </c>
      <c r="D23" s="117">
        <v>541</v>
      </c>
      <c r="E23" s="146" t="s">
        <v>634</v>
      </c>
      <c r="F23" s="110" t="s">
        <v>72</v>
      </c>
      <c r="G23" s="113">
        <v>1</v>
      </c>
      <c r="H23" s="114"/>
      <c r="I23" s="114">
        <f t="shared" si="0"/>
        <v>0</v>
      </c>
    </row>
    <row r="24" spans="1:9" ht="12.75">
      <c r="A24" s="110">
        <v>10</v>
      </c>
      <c r="B24" s="110" t="s">
        <v>489</v>
      </c>
      <c r="C24" s="110" t="s">
        <v>493</v>
      </c>
      <c r="D24" s="115">
        <v>542</v>
      </c>
      <c r="E24" s="146" t="s">
        <v>635</v>
      </c>
      <c r="F24" s="110" t="s">
        <v>72</v>
      </c>
      <c r="G24" s="113">
        <v>1</v>
      </c>
      <c r="H24" s="114"/>
      <c r="I24" s="114">
        <f t="shared" si="0"/>
        <v>0</v>
      </c>
    </row>
    <row r="25" spans="1:9" ht="12.75">
      <c r="A25" s="110">
        <v>11</v>
      </c>
      <c r="B25" s="110" t="s">
        <v>489</v>
      </c>
      <c r="C25" s="110" t="s">
        <v>493</v>
      </c>
      <c r="D25" s="111">
        <v>543</v>
      </c>
      <c r="E25" s="146" t="s">
        <v>636</v>
      </c>
      <c r="F25" s="110" t="s">
        <v>72</v>
      </c>
      <c r="G25" s="113">
        <v>10</v>
      </c>
      <c r="H25" s="114"/>
      <c r="I25" s="114">
        <f t="shared" si="0"/>
        <v>0</v>
      </c>
    </row>
    <row r="26" spans="1:9" ht="12.75">
      <c r="A26" s="110">
        <v>12</v>
      </c>
      <c r="B26" s="110" t="s">
        <v>489</v>
      </c>
      <c r="C26" s="110" t="s">
        <v>493</v>
      </c>
      <c r="D26" s="115">
        <v>544</v>
      </c>
      <c r="E26" s="146" t="s">
        <v>637</v>
      </c>
      <c r="F26" s="110" t="s">
        <v>72</v>
      </c>
      <c r="G26" s="113">
        <v>6</v>
      </c>
      <c r="H26" s="114"/>
      <c r="I26" s="114">
        <f t="shared" si="0"/>
        <v>0</v>
      </c>
    </row>
    <row r="27" spans="1:9" ht="12.75">
      <c r="A27" s="110">
        <v>13</v>
      </c>
      <c r="B27" s="110" t="s">
        <v>489</v>
      </c>
      <c r="C27" s="110" t="s">
        <v>493</v>
      </c>
      <c r="D27" s="111">
        <v>545</v>
      </c>
      <c r="E27" s="146" t="s">
        <v>638</v>
      </c>
      <c r="F27" s="110" t="s">
        <v>72</v>
      </c>
      <c r="G27" s="113">
        <v>3</v>
      </c>
      <c r="H27" s="114"/>
      <c r="I27" s="114">
        <f t="shared" si="0"/>
        <v>0</v>
      </c>
    </row>
    <row r="28" spans="1:9" ht="12.75">
      <c r="A28" s="110">
        <v>14</v>
      </c>
      <c r="B28" s="110" t="s">
        <v>489</v>
      </c>
      <c r="C28" s="110" t="s">
        <v>493</v>
      </c>
      <c r="D28" s="115">
        <v>712</v>
      </c>
      <c r="E28" s="146" t="s">
        <v>76</v>
      </c>
      <c r="F28" s="110" t="s">
        <v>72</v>
      </c>
      <c r="G28" s="113">
        <v>1</v>
      </c>
      <c r="H28" s="114"/>
      <c r="I28" s="114">
        <f t="shared" si="0"/>
        <v>0</v>
      </c>
    </row>
    <row r="29" spans="1:9" ht="12.75">
      <c r="A29" s="110">
        <v>15</v>
      </c>
      <c r="B29" s="110" t="s">
        <v>489</v>
      </c>
      <c r="C29" s="110" t="s">
        <v>493</v>
      </c>
      <c r="D29" s="111">
        <v>713</v>
      </c>
      <c r="E29" s="146" t="s">
        <v>639</v>
      </c>
      <c r="F29" s="110" t="s">
        <v>72</v>
      </c>
      <c r="G29" s="113">
        <v>1</v>
      </c>
      <c r="H29" s="114"/>
      <c r="I29" s="114">
        <f t="shared" si="0"/>
        <v>0</v>
      </c>
    </row>
    <row r="30" spans="1:256" ht="13.5" customHeight="1">
      <c r="A30" s="110">
        <v>16</v>
      </c>
      <c r="B30" s="110" t="s">
        <v>489</v>
      </c>
      <c r="C30" s="110" t="s">
        <v>493</v>
      </c>
      <c r="D30" s="111">
        <v>715</v>
      </c>
      <c r="E30" s="146" t="s">
        <v>760</v>
      </c>
      <c r="F30" s="110" t="s">
        <v>72</v>
      </c>
      <c r="G30" s="113">
        <v>2</v>
      </c>
      <c r="H30" s="114"/>
      <c r="I30" s="114">
        <f t="shared" si="0"/>
        <v>0</v>
      </c>
      <c r="J30" s="110"/>
      <c r="K30" s="110"/>
      <c r="L30" s="111"/>
      <c r="M30" s="146"/>
      <c r="N30" s="110"/>
      <c r="O30" s="113"/>
      <c r="P30" s="114"/>
      <c r="Q30" s="110"/>
      <c r="R30" s="110"/>
      <c r="S30" s="110"/>
      <c r="T30" s="111"/>
      <c r="U30" s="146"/>
      <c r="V30" s="110"/>
      <c r="W30" s="113"/>
      <c r="X30" s="114"/>
      <c r="Y30" s="110"/>
      <c r="Z30" s="110"/>
      <c r="AA30" s="110"/>
      <c r="AB30" s="111"/>
      <c r="AC30" s="146"/>
      <c r="AD30" s="110"/>
      <c r="AE30" s="113"/>
      <c r="AF30" s="114"/>
      <c r="AG30" s="110"/>
      <c r="AH30" s="110"/>
      <c r="AI30" s="110"/>
      <c r="AJ30" s="111"/>
      <c r="AK30" s="146"/>
      <c r="AL30" s="110"/>
      <c r="AM30" s="113"/>
      <c r="AN30" s="114"/>
      <c r="AO30" s="110"/>
      <c r="AP30" s="110"/>
      <c r="AQ30" s="110"/>
      <c r="AR30" s="111"/>
      <c r="AS30" s="146"/>
      <c r="AT30" s="110"/>
      <c r="AU30" s="113"/>
      <c r="AV30" s="114"/>
      <c r="AW30" s="110"/>
      <c r="AX30" s="110"/>
      <c r="AY30" s="110"/>
      <c r="AZ30" s="111"/>
      <c r="BA30" s="146"/>
      <c r="BB30" s="110"/>
      <c r="BC30" s="113"/>
      <c r="BD30" s="114"/>
      <c r="BE30" s="110"/>
      <c r="BF30" s="110"/>
      <c r="BG30" s="110"/>
      <c r="BH30" s="111"/>
      <c r="BI30" s="146"/>
      <c r="BJ30" s="110"/>
      <c r="BK30" s="113"/>
      <c r="BL30" s="114"/>
      <c r="BM30" s="110"/>
      <c r="BN30" s="110"/>
      <c r="BO30" s="110"/>
      <c r="BP30" s="111"/>
      <c r="BQ30" s="146"/>
      <c r="BR30" s="110"/>
      <c r="BS30" s="113"/>
      <c r="BT30" s="114"/>
      <c r="BU30" s="110"/>
      <c r="BV30" s="110"/>
      <c r="BW30" s="110"/>
      <c r="BX30" s="111"/>
      <c r="BY30" s="146"/>
      <c r="BZ30" s="110"/>
      <c r="CA30" s="113"/>
      <c r="CB30" s="114"/>
      <c r="CC30" s="110"/>
      <c r="CD30" s="110"/>
      <c r="CE30" s="110"/>
      <c r="CF30" s="111"/>
      <c r="CG30" s="146"/>
      <c r="CH30" s="110"/>
      <c r="CI30" s="113"/>
      <c r="CJ30" s="114"/>
      <c r="CK30" s="110"/>
      <c r="CL30" s="110"/>
      <c r="CM30" s="110"/>
      <c r="CN30" s="111"/>
      <c r="CO30" s="146"/>
      <c r="CP30" s="110"/>
      <c r="CQ30" s="113"/>
      <c r="CR30" s="114"/>
      <c r="CS30" s="110"/>
      <c r="CT30" s="110"/>
      <c r="CU30" s="110"/>
      <c r="CV30" s="111"/>
      <c r="CW30" s="146"/>
      <c r="CX30" s="110"/>
      <c r="CY30" s="113"/>
      <c r="CZ30" s="114"/>
      <c r="DA30" s="110"/>
      <c r="DB30" s="110"/>
      <c r="DC30" s="110"/>
      <c r="DD30" s="111"/>
      <c r="DE30" s="146"/>
      <c r="DF30" s="110"/>
      <c r="DG30" s="113"/>
      <c r="DH30" s="114"/>
      <c r="DI30" s="110"/>
      <c r="DJ30" s="110"/>
      <c r="DK30" s="110"/>
      <c r="DL30" s="111"/>
      <c r="DM30" s="146"/>
      <c r="DN30" s="110"/>
      <c r="DO30" s="113"/>
      <c r="DP30" s="114"/>
      <c r="DQ30" s="110"/>
      <c r="DR30" s="110"/>
      <c r="DS30" s="110"/>
      <c r="DT30" s="111"/>
      <c r="DU30" s="146"/>
      <c r="DV30" s="110"/>
      <c r="DW30" s="113"/>
      <c r="DX30" s="114"/>
      <c r="DY30" s="110"/>
      <c r="DZ30" s="110"/>
      <c r="EA30" s="110"/>
      <c r="EB30" s="111"/>
      <c r="EC30" s="146"/>
      <c r="ED30" s="110"/>
      <c r="EE30" s="113"/>
      <c r="EF30" s="114"/>
      <c r="EG30" s="110"/>
      <c r="EH30" s="110"/>
      <c r="EI30" s="110"/>
      <c r="EJ30" s="111"/>
      <c r="EK30" s="146"/>
      <c r="EL30" s="110"/>
      <c r="EM30" s="113"/>
      <c r="EN30" s="114"/>
      <c r="EO30" s="110"/>
      <c r="EP30" s="110"/>
      <c r="EQ30" s="110"/>
      <c r="ER30" s="111"/>
      <c r="ES30" s="146"/>
      <c r="ET30" s="110"/>
      <c r="EU30" s="113"/>
      <c r="EV30" s="114"/>
      <c r="EW30" s="110"/>
      <c r="EX30" s="110"/>
      <c r="EY30" s="110" t="s">
        <v>493</v>
      </c>
      <c r="EZ30" s="111">
        <v>715</v>
      </c>
      <c r="FA30" s="146" t="s">
        <v>760</v>
      </c>
      <c r="FB30" s="110" t="s">
        <v>72</v>
      </c>
      <c r="FC30" s="113">
        <v>2</v>
      </c>
      <c r="FD30" s="114">
        <v>3516</v>
      </c>
      <c r="FE30" s="110">
        <v>16</v>
      </c>
      <c r="FF30" s="110" t="s">
        <v>489</v>
      </c>
      <c r="FG30" s="110" t="s">
        <v>493</v>
      </c>
      <c r="FH30" s="111">
        <v>715</v>
      </c>
      <c r="FI30" s="146" t="s">
        <v>760</v>
      </c>
      <c r="FJ30" s="110" t="s">
        <v>72</v>
      </c>
      <c r="FK30" s="113">
        <v>2</v>
      </c>
      <c r="FL30" s="114">
        <v>3516</v>
      </c>
      <c r="FM30" s="110">
        <v>16</v>
      </c>
      <c r="FN30" s="110" t="s">
        <v>489</v>
      </c>
      <c r="FO30" s="110" t="s">
        <v>493</v>
      </c>
      <c r="FP30" s="111">
        <v>715</v>
      </c>
      <c r="FQ30" s="146" t="s">
        <v>760</v>
      </c>
      <c r="FR30" s="110" t="s">
        <v>72</v>
      </c>
      <c r="FS30" s="113">
        <v>2</v>
      </c>
      <c r="FT30" s="114">
        <v>3516</v>
      </c>
      <c r="FU30" s="110">
        <v>16</v>
      </c>
      <c r="FV30" s="110" t="s">
        <v>489</v>
      </c>
      <c r="FW30" s="110" t="s">
        <v>493</v>
      </c>
      <c r="FX30" s="111">
        <v>715</v>
      </c>
      <c r="FY30" s="146" t="s">
        <v>760</v>
      </c>
      <c r="FZ30" s="110" t="s">
        <v>72</v>
      </c>
      <c r="GA30" s="113">
        <v>2</v>
      </c>
      <c r="GB30" s="114">
        <v>3516</v>
      </c>
      <c r="GC30" s="110">
        <v>16</v>
      </c>
      <c r="GD30" s="110" t="s">
        <v>489</v>
      </c>
      <c r="GE30" s="110" t="s">
        <v>493</v>
      </c>
      <c r="GF30" s="111">
        <v>715</v>
      </c>
      <c r="GG30" s="146" t="s">
        <v>760</v>
      </c>
      <c r="GH30" s="110" t="s">
        <v>72</v>
      </c>
      <c r="GI30" s="113">
        <v>2</v>
      </c>
      <c r="GJ30" s="114">
        <v>3516</v>
      </c>
      <c r="GK30" s="110">
        <v>16</v>
      </c>
      <c r="GL30" s="110" t="s">
        <v>489</v>
      </c>
      <c r="GM30" s="110" t="s">
        <v>493</v>
      </c>
      <c r="GN30" s="111">
        <v>715</v>
      </c>
      <c r="GO30" s="146" t="s">
        <v>760</v>
      </c>
      <c r="GP30" s="110" t="s">
        <v>72</v>
      </c>
      <c r="GQ30" s="113">
        <v>2</v>
      </c>
      <c r="GR30" s="114">
        <v>3516</v>
      </c>
      <c r="GS30" s="110">
        <v>16</v>
      </c>
      <c r="GT30" s="110" t="s">
        <v>489</v>
      </c>
      <c r="GU30" s="110" t="s">
        <v>493</v>
      </c>
      <c r="GV30" s="111">
        <v>715</v>
      </c>
      <c r="GW30" s="146" t="s">
        <v>760</v>
      </c>
      <c r="GX30" s="110" t="s">
        <v>72</v>
      </c>
      <c r="GY30" s="113">
        <v>2</v>
      </c>
      <c r="GZ30" s="114">
        <v>3516</v>
      </c>
      <c r="HA30" s="110">
        <v>16</v>
      </c>
      <c r="HB30" s="110" t="s">
        <v>489</v>
      </c>
      <c r="HC30" s="110" t="s">
        <v>493</v>
      </c>
      <c r="HD30" s="111">
        <v>715</v>
      </c>
      <c r="HE30" s="146" t="s">
        <v>760</v>
      </c>
      <c r="HF30" s="110" t="s">
        <v>72</v>
      </c>
      <c r="HG30" s="113">
        <v>2</v>
      </c>
      <c r="HH30" s="114">
        <v>3516</v>
      </c>
      <c r="HI30" s="110">
        <v>16</v>
      </c>
      <c r="HJ30" s="110" t="s">
        <v>489</v>
      </c>
      <c r="HK30" s="110" t="s">
        <v>493</v>
      </c>
      <c r="HL30" s="111">
        <v>715</v>
      </c>
      <c r="HM30" s="146" t="s">
        <v>760</v>
      </c>
      <c r="HN30" s="110" t="s">
        <v>72</v>
      </c>
      <c r="HO30" s="113">
        <v>2</v>
      </c>
      <c r="HP30" s="114">
        <v>3516</v>
      </c>
      <c r="HQ30" s="110">
        <v>16</v>
      </c>
      <c r="HR30" s="110" t="s">
        <v>489</v>
      </c>
      <c r="HS30" s="110" t="s">
        <v>493</v>
      </c>
      <c r="HT30" s="111">
        <v>715</v>
      </c>
      <c r="HU30" s="146" t="s">
        <v>760</v>
      </c>
      <c r="HV30" s="110" t="s">
        <v>72</v>
      </c>
      <c r="HW30" s="113">
        <v>2</v>
      </c>
      <c r="HX30" s="114">
        <v>3516</v>
      </c>
      <c r="HY30" s="110">
        <v>16</v>
      </c>
      <c r="HZ30" s="110" t="s">
        <v>489</v>
      </c>
      <c r="IA30" s="110" t="s">
        <v>493</v>
      </c>
      <c r="IB30" s="111">
        <v>715</v>
      </c>
      <c r="IC30" s="146" t="s">
        <v>760</v>
      </c>
      <c r="ID30" s="110" t="s">
        <v>72</v>
      </c>
      <c r="IE30" s="113">
        <v>2</v>
      </c>
      <c r="IF30" s="114">
        <v>3516</v>
      </c>
      <c r="IG30" s="110">
        <v>16</v>
      </c>
      <c r="IH30" s="110" t="s">
        <v>489</v>
      </c>
      <c r="II30" s="110" t="s">
        <v>493</v>
      </c>
      <c r="IJ30" s="111">
        <v>715</v>
      </c>
      <c r="IK30" s="146" t="s">
        <v>760</v>
      </c>
      <c r="IL30" s="110" t="s">
        <v>72</v>
      </c>
      <c r="IM30" s="113">
        <v>2</v>
      </c>
      <c r="IN30" s="114">
        <v>3516</v>
      </c>
      <c r="IO30" s="110">
        <v>16</v>
      </c>
      <c r="IP30" s="110" t="s">
        <v>489</v>
      </c>
      <c r="IQ30" s="110" t="s">
        <v>493</v>
      </c>
      <c r="IR30" s="111">
        <v>715</v>
      </c>
      <c r="IS30" s="146" t="s">
        <v>760</v>
      </c>
      <c r="IT30" s="110" t="s">
        <v>72</v>
      </c>
      <c r="IU30" s="113">
        <v>2</v>
      </c>
      <c r="IV30" s="114">
        <v>3516</v>
      </c>
    </row>
    <row r="31" spans="1:9" ht="12.75">
      <c r="A31" s="110">
        <v>17</v>
      </c>
      <c r="B31" s="110" t="s">
        <v>489</v>
      </c>
      <c r="C31" s="110" t="s">
        <v>493</v>
      </c>
      <c r="D31" s="115">
        <v>722</v>
      </c>
      <c r="E31" s="146" t="s">
        <v>752</v>
      </c>
      <c r="F31" s="110" t="s">
        <v>72</v>
      </c>
      <c r="G31" s="113">
        <v>1</v>
      </c>
      <c r="H31" s="114"/>
      <c r="I31" s="114">
        <f t="shared" si="0"/>
        <v>0</v>
      </c>
    </row>
    <row r="32" spans="1:9" ht="12.75">
      <c r="A32" s="110">
        <v>18</v>
      </c>
      <c r="B32" s="110" t="s">
        <v>489</v>
      </c>
      <c r="C32" s="110" t="s">
        <v>493</v>
      </c>
      <c r="D32" s="111">
        <v>441</v>
      </c>
      <c r="E32" s="146" t="s">
        <v>77</v>
      </c>
      <c r="F32" s="110" t="s">
        <v>72</v>
      </c>
      <c r="G32" s="113">
        <v>1</v>
      </c>
      <c r="H32" s="114"/>
      <c r="I32" s="114">
        <f>H32*G32</f>
        <v>0</v>
      </c>
    </row>
    <row r="33" spans="1:9" ht="12.75">
      <c r="A33" s="111"/>
      <c r="B33" s="111"/>
      <c r="C33" s="111"/>
      <c r="D33" s="115"/>
      <c r="E33" s="115"/>
      <c r="F33" s="111"/>
      <c r="G33" s="116"/>
      <c r="H33" s="111"/>
      <c r="I33" s="111"/>
    </row>
    <row r="34" spans="1:9" ht="12.75">
      <c r="A34" s="110"/>
      <c r="B34" s="110"/>
      <c r="C34" s="110"/>
      <c r="D34" s="111"/>
      <c r="E34" s="112"/>
      <c r="F34" s="110"/>
      <c r="G34" s="113"/>
      <c r="H34" s="114"/>
      <c r="I34" s="114"/>
    </row>
    <row r="35" spans="1:9" ht="12.75">
      <c r="A35" s="128"/>
      <c r="B35" s="128"/>
      <c r="C35" s="128"/>
      <c r="D35" s="128"/>
      <c r="E35" s="129" t="s">
        <v>270</v>
      </c>
      <c r="F35" s="128"/>
      <c r="G35" s="128"/>
      <c r="H35" s="128"/>
      <c r="I35" s="130">
        <f>SUM(I15:I32)</f>
        <v>0</v>
      </c>
    </row>
  </sheetData>
  <sheetProtection/>
  <protectedRanges>
    <protectedRange sqref="H15:I29 H31:I32 I30" name="Oblast1"/>
    <protectedRange sqref="H30 P30 X30 AF30 AN30 AV30 BD30 BL30 BT30 CB30 CJ30 CR30 CZ30 DH30 DP30 DX30 EF30 EN30 EV30 FD30 FL30 FT30 GB30 GJ30 GR30 GZ30 HH30 HP30 HX30 IF30 IN30 IV30" name="Oblast1_1"/>
  </protectedRange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J42"/>
  <sheetViews>
    <sheetView zoomScalePageLayoutView="0" workbookViewId="0" topLeftCell="A16">
      <selection activeCell="H37" sqref="H37"/>
    </sheetView>
  </sheetViews>
  <sheetFormatPr defaultColWidth="9.00390625" defaultRowHeight="12.75"/>
  <cols>
    <col min="4" max="4" width="9.125" style="137" customWidth="1"/>
    <col min="5" max="5" width="50.875" style="0" customWidth="1"/>
    <col min="6" max="6" width="7.125" style="134" customWidth="1"/>
    <col min="7" max="7" width="10.00390625" style="0" customWidth="1"/>
    <col min="8" max="8" width="11.00390625" style="0" customWidth="1"/>
    <col min="9" max="9" width="16.00390625" style="0" customWidth="1"/>
  </cols>
  <sheetData>
    <row r="1" spans="1:9" ht="18">
      <c r="A1" s="95" t="s">
        <v>478</v>
      </c>
      <c r="B1" s="96"/>
      <c r="C1" s="96"/>
      <c r="D1" s="96"/>
      <c r="E1" s="96"/>
      <c r="F1" s="96"/>
      <c r="G1" s="96"/>
      <c r="H1" s="96"/>
      <c r="I1" s="96"/>
    </row>
    <row r="2" spans="1:9" ht="12.75">
      <c r="A2" s="97" t="s">
        <v>479</v>
      </c>
      <c r="B2" s="98"/>
      <c r="C2" s="98" t="str">
        <f>'[13]Krycí list'!E5</f>
        <v>Kolešovice kanalizace</v>
      </c>
      <c r="D2" s="98"/>
      <c r="E2" s="98"/>
      <c r="F2" s="98"/>
      <c r="G2" s="98"/>
      <c r="H2" s="98"/>
      <c r="I2" s="98"/>
    </row>
    <row r="3" spans="1:9" ht="12.75">
      <c r="A3" s="97" t="s">
        <v>480</v>
      </c>
      <c r="B3" s="98"/>
      <c r="C3" s="98" t="s">
        <v>758</v>
      </c>
      <c r="D3" s="98"/>
      <c r="E3" s="98"/>
      <c r="F3" s="98"/>
      <c r="G3" s="98"/>
      <c r="H3" s="98"/>
      <c r="I3" s="98"/>
    </row>
    <row r="4" spans="1:9" ht="12.75">
      <c r="A4" s="97" t="s">
        <v>481</v>
      </c>
      <c r="B4" s="98"/>
      <c r="C4" s="98" t="str">
        <f>'[13]Krycí list'!E9</f>
        <v> </v>
      </c>
      <c r="D4" s="98"/>
      <c r="E4" s="98"/>
      <c r="F4" s="98"/>
      <c r="G4" s="98"/>
      <c r="H4" s="98"/>
      <c r="I4" s="98"/>
    </row>
    <row r="5" spans="1:9" ht="12.75">
      <c r="A5" s="98" t="s">
        <v>482</v>
      </c>
      <c r="B5" s="98"/>
      <c r="C5" s="98" t="str">
        <f>'[13]Krycí list'!P5</f>
        <v> </v>
      </c>
      <c r="D5" s="98"/>
      <c r="E5" s="98"/>
      <c r="F5" s="98"/>
      <c r="G5" s="98"/>
      <c r="H5" s="98"/>
      <c r="I5" s="98"/>
    </row>
    <row r="6" spans="1:9" ht="12.75">
      <c r="A6" s="98"/>
      <c r="B6" s="98"/>
      <c r="C6" s="98"/>
      <c r="D6" s="98"/>
      <c r="E6" s="98"/>
      <c r="F6" s="98"/>
      <c r="G6" s="98"/>
      <c r="H6" s="98"/>
      <c r="I6" s="98"/>
    </row>
    <row r="7" spans="1:9" ht="12.75">
      <c r="A7" s="98" t="s">
        <v>483</v>
      </c>
      <c r="B7" s="98"/>
      <c r="C7" s="98" t="str">
        <f>'[13]Krycí list'!E26</f>
        <v> </v>
      </c>
      <c r="D7" s="98"/>
      <c r="E7" s="98"/>
      <c r="F7" s="98"/>
      <c r="G7" s="98"/>
      <c r="H7" s="98"/>
      <c r="I7" s="98"/>
    </row>
    <row r="8" spans="1:9" ht="12.75">
      <c r="A8" s="98" t="s">
        <v>484</v>
      </c>
      <c r="B8" s="98"/>
      <c r="C8" s="98" t="str">
        <f>'[13]Krycí list'!E28</f>
        <v> </v>
      </c>
      <c r="D8" s="98"/>
      <c r="E8" s="98"/>
      <c r="F8" s="98"/>
      <c r="G8" s="98"/>
      <c r="H8" s="98"/>
      <c r="I8" s="98"/>
    </row>
    <row r="9" spans="1:9" ht="12.75">
      <c r="A9" s="98" t="s">
        <v>485</v>
      </c>
      <c r="B9" s="98"/>
      <c r="C9" s="98" t="s">
        <v>486</v>
      </c>
      <c r="D9" s="98"/>
      <c r="E9" s="98"/>
      <c r="F9" s="98"/>
      <c r="G9" s="98"/>
      <c r="H9" s="98"/>
      <c r="I9" s="98"/>
    </row>
    <row r="10" spans="1:9" ht="12.75">
      <c r="A10" s="96"/>
      <c r="B10" s="96"/>
      <c r="C10" s="96"/>
      <c r="D10" s="96"/>
      <c r="E10" s="96"/>
      <c r="F10" s="96"/>
      <c r="G10" s="96"/>
      <c r="H10" s="96"/>
      <c r="I10" s="96"/>
    </row>
    <row r="11" spans="1:9" ht="22.5">
      <c r="A11" s="99" t="s">
        <v>79</v>
      </c>
      <c r="B11" s="100" t="s">
        <v>487</v>
      </c>
      <c r="C11" s="100" t="s">
        <v>80</v>
      </c>
      <c r="D11" s="100" t="s">
        <v>81</v>
      </c>
      <c r="E11" s="100" t="s">
        <v>82</v>
      </c>
      <c r="F11" s="100" t="s">
        <v>2</v>
      </c>
      <c r="G11" s="100" t="s">
        <v>83</v>
      </c>
      <c r="H11" s="100" t="s">
        <v>84</v>
      </c>
      <c r="I11" s="100" t="s">
        <v>18</v>
      </c>
    </row>
    <row r="12" spans="1:9" ht="12.75">
      <c r="A12" s="101">
        <v>1</v>
      </c>
      <c r="B12" s="102">
        <v>2</v>
      </c>
      <c r="C12" s="102">
        <v>3</v>
      </c>
      <c r="D12" s="102">
        <v>4</v>
      </c>
      <c r="E12" s="102">
        <v>5</v>
      </c>
      <c r="F12" s="102">
        <v>6</v>
      </c>
      <c r="G12" s="102">
        <v>7</v>
      </c>
      <c r="H12" s="102">
        <v>8</v>
      </c>
      <c r="I12" s="102">
        <v>9</v>
      </c>
    </row>
    <row r="13" spans="1:9" ht="12.75">
      <c r="A13" s="96"/>
      <c r="B13" s="96"/>
      <c r="C13" s="96"/>
      <c r="D13" s="96"/>
      <c r="E13" s="96"/>
      <c r="F13" s="96"/>
      <c r="G13" s="96"/>
      <c r="H13" s="96"/>
      <c r="I13" s="96"/>
    </row>
    <row r="14" spans="1:9" ht="12.75">
      <c r="A14" s="145"/>
      <c r="B14" s="145" t="s">
        <v>488</v>
      </c>
      <c r="C14" s="145"/>
      <c r="D14" s="145">
        <v>1</v>
      </c>
      <c r="E14" s="145" t="s">
        <v>71</v>
      </c>
      <c r="F14" s="145"/>
      <c r="G14" s="145"/>
      <c r="H14" s="145"/>
      <c r="I14" s="147">
        <f>0.5*SUM(I15:I38)</f>
        <v>0</v>
      </c>
    </row>
    <row r="15" spans="1:10" s="139" customFormat="1" ht="12.75">
      <c r="A15" s="110"/>
      <c r="B15" s="110"/>
      <c r="C15" s="110"/>
      <c r="D15" s="111"/>
      <c r="E15" s="126" t="s">
        <v>746</v>
      </c>
      <c r="F15" s="110"/>
      <c r="G15" s="113"/>
      <c r="H15" s="114"/>
      <c r="I15" s="114"/>
      <c r="J15" s="138"/>
    </row>
    <row r="16" spans="1:9" ht="27" customHeight="1">
      <c r="A16" s="110">
        <v>1</v>
      </c>
      <c r="B16" s="110" t="s">
        <v>489</v>
      </c>
      <c r="C16" s="110" t="s">
        <v>493</v>
      </c>
      <c r="D16" s="111">
        <v>721</v>
      </c>
      <c r="E16" s="146" t="s">
        <v>741</v>
      </c>
      <c r="F16" s="110" t="s">
        <v>72</v>
      </c>
      <c r="G16" s="113">
        <v>1</v>
      </c>
      <c r="H16" s="114"/>
      <c r="I16" s="114">
        <f aca="true" t="shared" si="0" ref="I16:I21">G16*H16</f>
        <v>0</v>
      </c>
    </row>
    <row r="17" spans="1:9" ht="22.5">
      <c r="A17" s="110">
        <v>2</v>
      </c>
      <c r="B17" s="110" t="s">
        <v>489</v>
      </c>
      <c r="C17" s="110" t="s">
        <v>493</v>
      </c>
      <c r="D17" s="111">
        <v>723</v>
      </c>
      <c r="E17" s="146" t="s">
        <v>742</v>
      </c>
      <c r="F17" s="110" t="s">
        <v>72</v>
      </c>
      <c r="G17" s="113">
        <v>1</v>
      </c>
      <c r="H17" s="114"/>
      <c r="I17" s="114">
        <f t="shared" si="0"/>
        <v>0</v>
      </c>
    </row>
    <row r="18" spans="1:9" ht="12.75">
      <c r="A18" s="110">
        <v>3</v>
      </c>
      <c r="B18" s="110" t="s">
        <v>489</v>
      </c>
      <c r="C18" s="110" t="s">
        <v>493</v>
      </c>
      <c r="D18" s="115">
        <v>724</v>
      </c>
      <c r="E18" s="146" t="s">
        <v>743</v>
      </c>
      <c r="F18" s="110" t="s">
        <v>72</v>
      </c>
      <c r="G18" s="113">
        <v>1</v>
      </c>
      <c r="H18" s="114"/>
      <c r="I18" s="114">
        <f t="shared" si="0"/>
        <v>0</v>
      </c>
    </row>
    <row r="19" spans="1:9" ht="12.75">
      <c r="A19" s="110">
        <v>4</v>
      </c>
      <c r="B19" s="110" t="s">
        <v>489</v>
      </c>
      <c r="C19" s="110" t="s">
        <v>493</v>
      </c>
      <c r="D19" s="111">
        <v>725</v>
      </c>
      <c r="E19" s="146" t="s">
        <v>744</v>
      </c>
      <c r="F19" s="110" t="s">
        <v>72</v>
      </c>
      <c r="G19" s="113">
        <v>1</v>
      </c>
      <c r="H19" s="114"/>
      <c r="I19" s="114">
        <f t="shared" si="0"/>
        <v>0</v>
      </c>
    </row>
    <row r="20" spans="1:9" ht="22.5">
      <c r="A20" s="110">
        <v>5</v>
      </c>
      <c r="B20" s="110" t="s">
        <v>489</v>
      </c>
      <c r="C20" s="110" t="s">
        <v>493</v>
      </c>
      <c r="D20" s="111">
        <v>729</v>
      </c>
      <c r="E20" s="146" t="s">
        <v>748</v>
      </c>
      <c r="F20" s="110" t="s">
        <v>72</v>
      </c>
      <c r="G20" s="113">
        <v>1</v>
      </c>
      <c r="H20" s="114"/>
      <c r="I20" s="114">
        <f t="shared" si="0"/>
        <v>0</v>
      </c>
    </row>
    <row r="21" spans="1:9" ht="12.75">
      <c r="A21" s="110">
        <v>6</v>
      </c>
      <c r="B21" s="110" t="s">
        <v>489</v>
      </c>
      <c r="C21" s="110" t="s">
        <v>493</v>
      </c>
      <c r="D21" s="117">
        <v>736</v>
      </c>
      <c r="E21" s="146" t="s">
        <v>747</v>
      </c>
      <c r="F21" s="110" t="s">
        <v>72</v>
      </c>
      <c r="G21" s="113">
        <v>1</v>
      </c>
      <c r="H21" s="114"/>
      <c r="I21" s="114">
        <f t="shared" si="0"/>
        <v>0</v>
      </c>
    </row>
    <row r="22" spans="1:9" ht="12.75">
      <c r="A22" s="110"/>
      <c r="B22" s="110"/>
      <c r="C22" s="110"/>
      <c r="D22" s="115"/>
      <c r="E22" s="146" t="s">
        <v>15</v>
      </c>
      <c r="F22" s="110"/>
      <c r="G22" s="113"/>
      <c r="H22" s="114"/>
      <c r="I22" s="127">
        <f>SUM(I16:I21)</f>
        <v>0</v>
      </c>
    </row>
    <row r="23" spans="1:9" ht="12.75">
      <c r="A23" s="110"/>
      <c r="B23" s="110"/>
      <c r="C23" s="110"/>
      <c r="D23" s="115"/>
      <c r="E23" s="146"/>
      <c r="F23" s="110"/>
      <c r="G23" s="113"/>
      <c r="H23" s="114"/>
      <c r="I23" s="114"/>
    </row>
    <row r="24" spans="1:9" ht="12.75">
      <c r="A24" s="110"/>
      <c r="B24" s="110"/>
      <c r="C24" s="110"/>
      <c r="D24" s="117"/>
      <c r="E24" s="126" t="s">
        <v>16</v>
      </c>
      <c r="F24" s="110"/>
      <c r="G24" s="113"/>
      <c r="H24" s="114"/>
      <c r="I24" s="114"/>
    </row>
    <row r="25" spans="1:9" ht="12.75">
      <c r="A25" s="110">
        <v>7</v>
      </c>
      <c r="B25" s="110" t="s">
        <v>488</v>
      </c>
      <c r="C25" s="110" t="s">
        <v>493</v>
      </c>
      <c r="D25" s="115">
        <v>742</v>
      </c>
      <c r="E25" s="146" t="s">
        <v>740</v>
      </c>
      <c r="F25" s="110" t="s">
        <v>75</v>
      </c>
      <c r="G25" s="113">
        <v>400</v>
      </c>
      <c r="H25" s="114"/>
      <c r="I25" s="114">
        <f aca="true" t="shared" si="1" ref="I25:I33">G25*H25</f>
        <v>0</v>
      </c>
    </row>
    <row r="26" spans="1:9" ht="12.75">
      <c r="A26" s="110">
        <v>8</v>
      </c>
      <c r="B26" s="110" t="s">
        <v>488</v>
      </c>
      <c r="C26" s="110" t="s">
        <v>493</v>
      </c>
      <c r="D26" s="111">
        <v>743</v>
      </c>
      <c r="E26" s="146" t="s">
        <v>50</v>
      </c>
      <c r="F26" s="110" t="s">
        <v>75</v>
      </c>
      <c r="G26" s="113">
        <v>455</v>
      </c>
      <c r="H26" s="114"/>
      <c r="I26" s="114">
        <f t="shared" si="1"/>
        <v>0</v>
      </c>
    </row>
    <row r="27" spans="1:9" ht="12.75">
      <c r="A27" s="110">
        <v>9</v>
      </c>
      <c r="B27" s="110" t="s">
        <v>488</v>
      </c>
      <c r="C27" s="110" t="s">
        <v>493</v>
      </c>
      <c r="D27" s="115">
        <v>744</v>
      </c>
      <c r="E27" s="146" t="s">
        <v>745</v>
      </c>
      <c r="F27" s="110" t="s">
        <v>72</v>
      </c>
      <c r="G27" s="113">
        <v>1</v>
      </c>
      <c r="H27" s="114"/>
      <c r="I27" s="114">
        <f t="shared" si="1"/>
        <v>0</v>
      </c>
    </row>
    <row r="28" spans="1:9" ht="12.75">
      <c r="A28" s="110">
        <v>10</v>
      </c>
      <c r="B28" s="110" t="s">
        <v>488</v>
      </c>
      <c r="C28" s="110" t="s">
        <v>493</v>
      </c>
      <c r="D28" s="111">
        <v>745</v>
      </c>
      <c r="E28" s="146" t="s">
        <v>19</v>
      </c>
      <c r="F28" s="110" t="s">
        <v>75</v>
      </c>
      <c r="G28" s="113">
        <v>30</v>
      </c>
      <c r="H28" s="114"/>
      <c r="I28" s="114">
        <f t="shared" si="1"/>
        <v>0</v>
      </c>
    </row>
    <row r="29" spans="1:9" ht="12.75">
      <c r="A29" s="110">
        <v>11</v>
      </c>
      <c r="B29" s="110" t="s">
        <v>488</v>
      </c>
      <c r="C29" s="110" t="s">
        <v>493</v>
      </c>
      <c r="D29" s="115">
        <v>746</v>
      </c>
      <c r="E29" s="146" t="s">
        <v>20</v>
      </c>
      <c r="F29" s="110" t="s">
        <v>72</v>
      </c>
      <c r="G29" s="113">
        <v>2</v>
      </c>
      <c r="H29" s="114"/>
      <c r="I29" s="114">
        <f t="shared" si="1"/>
        <v>0</v>
      </c>
    </row>
    <row r="30" spans="1:9" ht="12.75">
      <c r="A30" s="110">
        <v>12</v>
      </c>
      <c r="B30" s="110" t="s">
        <v>488</v>
      </c>
      <c r="C30" s="110" t="s">
        <v>493</v>
      </c>
      <c r="D30" s="111">
        <v>752</v>
      </c>
      <c r="E30" s="146" t="s">
        <v>52</v>
      </c>
      <c r="F30" s="110" t="s">
        <v>75</v>
      </c>
      <c r="G30" s="113">
        <v>27</v>
      </c>
      <c r="H30" s="114"/>
      <c r="I30" s="114">
        <f t="shared" si="1"/>
        <v>0</v>
      </c>
    </row>
    <row r="31" spans="1:9" ht="12.75">
      <c r="A31" s="110">
        <v>13</v>
      </c>
      <c r="B31" s="110" t="s">
        <v>488</v>
      </c>
      <c r="C31" s="110" t="s">
        <v>493</v>
      </c>
      <c r="D31" s="115">
        <v>754</v>
      </c>
      <c r="E31" s="146" t="s">
        <v>21</v>
      </c>
      <c r="F31" s="110" t="s">
        <v>72</v>
      </c>
      <c r="G31" s="113">
        <v>1</v>
      </c>
      <c r="H31" s="114"/>
      <c r="I31" s="114">
        <f>G31*H31</f>
        <v>0</v>
      </c>
    </row>
    <row r="32" spans="1:9" ht="12.75">
      <c r="A32" s="110">
        <v>14</v>
      </c>
      <c r="B32" s="110" t="s">
        <v>508</v>
      </c>
      <c r="C32" s="110" t="s">
        <v>509</v>
      </c>
      <c r="D32" s="111">
        <v>765</v>
      </c>
      <c r="E32" s="146" t="s">
        <v>1</v>
      </c>
      <c r="F32" s="110" t="s">
        <v>72</v>
      </c>
      <c r="G32" s="113">
        <v>1</v>
      </c>
      <c r="H32" s="114"/>
      <c r="I32" s="114">
        <f t="shared" si="1"/>
        <v>0</v>
      </c>
    </row>
    <row r="33" spans="1:9" ht="12.75">
      <c r="A33" s="110">
        <v>15</v>
      </c>
      <c r="B33" s="110" t="s">
        <v>489</v>
      </c>
      <c r="C33" s="110" t="s">
        <v>493</v>
      </c>
      <c r="D33" s="111">
        <v>772</v>
      </c>
      <c r="E33" s="146" t="s">
        <v>22</v>
      </c>
      <c r="F33" s="110" t="s">
        <v>72</v>
      </c>
      <c r="G33" s="113">
        <v>1</v>
      </c>
      <c r="H33" s="114"/>
      <c r="I33" s="114">
        <f t="shared" si="1"/>
        <v>0</v>
      </c>
    </row>
    <row r="34" spans="1:9" ht="12.75">
      <c r="A34" s="110"/>
      <c r="B34" s="110"/>
      <c r="C34" s="110"/>
      <c r="D34" s="111"/>
      <c r="E34" s="146" t="s">
        <v>15</v>
      </c>
      <c r="F34" s="110"/>
      <c r="G34" s="113"/>
      <c r="H34" s="114"/>
      <c r="I34" s="127">
        <f>SUM(I25:I33)</f>
        <v>0</v>
      </c>
    </row>
    <row r="35" spans="1:9" ht="12.75">
      <c r="A35" s="110"/>
      <c r="B35" s="110"/>
      <c r="C35" s="110"/>
      <c r="D35" s="111"/>
      <c r="E35" s="146"/>
      <c r="F35" s="110"/>
      <c r="G35" s="113"/>
      <c r="H35" s="114"/>
      <c r="I35" s="114"/>
    </row>
    <row r="36" spans="1:9" ht="12.75">
      <c r="A36" s="110"/>
      <c r="B36" s="110"/>
      <c r="C36" s="110"/>
      <c r="D36" s="111"/>
      <c r="E36" s="126" t="s">
        <v>17</v>
      </c>
      <c r="F36" s="110"/>
      <c r="G36" s="113"/>
      <c r="H36" s="114"/>
      <c r="I36" s="114"/>
    </row>
    <row r="37" spans="1:9" ht="27" customHeight="1">
      <c r="A37" s="110">
        <v>16</v>
      </c>
      <c r="B37" s="110" t="s">
        <v>489</v>
      </c>
      <c r="C37" s="110" t="s">
        <v>493</v>
      </c>
      <c r="D37" s="115">
        <v>745</v>
      </c>
      <c r="E37" s="146" t="s">
        <v>51</v>
      </c>
      <c r="F37" s="110" t="s">
        <v>75</v>
      </c>
      <c r="G37" s="113">
        <v>25</v>
      </c>
      <c r="H37" s="114"/>
      <c r="I37" s="114">
        <f>G37*H37</f>
        <v>0</v>
      </c>
    </row>
    <row r="38" spans="1:9" ht="12.75">
      <c r="A38" s="110"/>
      <c r="B38" s="110"/>
      <c r="C38" s="110"/>
      <c r="D38" s="111"/>
      <c r="E38" s="146" t="s">
        <v>15</v>
      </c>
      <c r="F38" s="110"/>
      <c r="G38" s="113"/>
      <c r="H38" s="114"/>
      <c r="I38" s="127">
        <f>SUM(I37)</f>
        <v>0</v>
      </c>
    </row>
    <row r="39" spans="1:9" ht="12.75">
      <c r="A39" s="110"/>
      <c r="B39" s="110"/>
      <c r="C39" s="110"/>
      <c r="D39" s="111"/>
      <c r="E39" s="146"/>
      <c r="F39" s="110"/>
      <c r="G39" s="113"/>
      <c r="H39" s="114"/>
      <c r="I39" s="114"/>
    </row>
    <row r="40" spans="1:9" ht="12.75">
      <c r="A40" s="110"/>
      <c r="B40" s="110"/>
      <c r="C40" s="110"/>
      <c r="D40" s="117"/>
      <c r="E40" s="148" t="s">
        <v>23</v>
      </c>
      <c r="F40" s="110"/>
      <c r="G40" s="113"/>
      <c r="H40" s="114"/>
      <c r="I40" s="130">
        <f>SUM(I38+I34+I22)</f>
        <v>0</v>
      </c>
    </row>
    <row r="41" spans="4:8" ht="15">
      <c r="D41" s="135"/>
      <c r="E41" s="60"/>
      <c r="F41" s="61"/>
      <c r="G41" s="62"/>
      <c r="H41" s="62"/>
    </row>
    <row r="42" spans="4:8" ht="12.75">
      <c r="D42" s="136"/>
      <c r="E42" s="63"/>
      <c r="F42" s="64"/>
      <c r="G42" s="65"/>
      <c r="H42" s="65"/>
    </row>
  </sheetData>
  <sheetProtection/>
  <protectedRanges>
    <protectedRange sqref="H34:I36 H38:I40" name="Oblast1"/>
    <protectedRange sqref="H37:I37 H25:I33" name="Oblast1_1"/>
  </protectedRange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I60"/>
  <sheetViews>
    <sheetView view="pageBreakPreview" zoomScaleSheetLayoutView="100" zoomScalePageLayoutView="0" workbookViewId="0" topLeftCell="A16">
      <selection activeCell="H37" sqref="H37"/>
    </sheetView>
  </sheetViews>
  <sheetFormatPr defaultColWidth="9.00390625" defaultRowHeight="12.75"/>
  <cols>
    <col min="5" max="5" width="49.875" style="137" customWidth="1"/>
    <col min="6" max="6" width="8.00390625" style="0" customWidth="1"/>
    <col min="7" max="7" width="7.125" style="134" customWidth="1"/>
    <col min="8" max="8" width="10.00390625" style="0" customWidth="1"/>
    <col min="9" max="9" width="14.875" style="0" customWidth="1"/>
    <col min="10" max="10" width="16.00390625" style="0" customWidth="1"/>
  </cols>
  <sheetData>
    <row r="1" spans="1:9" ht="18">
      <c r="A1" s="95" t="s">
        <v>478</v>
      </c>
      <c r="B1" s="96"/>
      <c r="C1" s="96"/>
      <c r="D1" s="96"/>
      <c r="E1" s="96"/>
      <c r="F1" s="96"/>
      <c r="G1" s="96"/>
      <c r="H1" s="96"/>
      <c r="I1" s="96"/>
    </row>
    <row r="2" spans="1:9" ht="12.75">
      <c r="A2" s="97" t="s">
        <v>479</v>
      </c>
      <c r="B2" s="98"/>
      <c r="C2" s="98" t="str">
        <f>'[13]Krycí list'!E5</f>
        <v>Kolešovice kanalizace</v>
      </c>
      <c r="D2" s="98"/>
      <c r="E2" s="98"/>
      <c r="F2" s="98"/>
      <c r="G2" s="98"/>
      <c r="H2" s="98"/>
      <c r="I2" s="98"/>
    </row>
    <row r="3" spans="1:9" ht="12.75">
      <c r="A3" s="97" t="s">
        <v>480</v>
      </c>
      <c r="B3" s="98"/>
      <c r="C3" s="98" t="s">
        <v>759</v>
      </c>
      <c r="D3" s="98"/>
      <c r="E3" s="98"/>
      <c r="F3" s="98"/>
      <c r="G3" s="98"/>
      <c r="H3" s="98"/>
      <c r="I3" s="98"/>
    </row>
    <row r="4" spans="1:9" ht="12.75">
      <c r="A4" s="97" t="s">
        <v>481</v>
      </c>
      <c r="B4" s="98"/>
      <c r="C4" s="98" t="str">
        <f>'[13]Krycí list'!E9</f>
        <v> </v>
      </c>
      <c r="D4" s="98"/>
      <c r="E4" s="98"/>
      <c r="F4" s="98"/>
      <c r="G4" s="98"/>
      <c r="H4" s="98"/>
      <c r="I4" s="98"/>
    </row>
    <row r="5" spans="1:9" ht="12.75">
      <c r="A5" s="98" t="s">
        <v>482</v>
      </c>
      <c r="B5" s="98"/>
      <c r="C5" s="98" t="str">
        <f>'[13]Krycí list'!P5</f>
        <v> </v>
      </c>
      <c r="D5" s="98"/>
      <c r="E5" s="98"/>
      <c r="F5" s="98"/>
      <c r="G5" s="98"/>
      <c r="H5" s="98"/>
      <c r="I5" s="98"/>
    </row>
    <row r="6" spans="1:9" ht="12.75">
      <c r="A6" s="98"/>
      <c r="B6" s="98"/>
      <c r="C6" s="98"/>
      <c r="D6" s="98"/>
      <c r="E6" s="98"/>
      <c r="F6" s="98"/>
      <c r="G6" s="98"/>
      <c r="H6" s="98"/>
      <c r="I6" s="98"/>
    </row>
    <row r="7" spans="1:9" ht="12.75">
      <c r="A7" s="98" t="s">
        <v>483</v>
      </c>
      <c r="B7" s="98"/>
      <c r="C7" s="98" t="str">
        <f>'[13]Krycí list'!E26</f>
        <v> </v>
      </c>
      <c r="D7" s="98"/>
      <c r="E7" s="98"/>
      <c r="F7" s="98"/>
      <c r="G7" s="98"/>
      <c r="H7" s="98"/>
      <c r="I7" s="98"/>
    </row>
    <row r="8" spans="1:9" ht="12.75">
      <c r="A8" s="98" t="s">
        <v>484</v>
      </c>
      <c r="B8" s="98"/>
      <c r="C8" s="98" t="str">
        <f>'[13]Krycí list'!E28</f>
        <v> </v>
      </c>
      <c r="D8" s="98"/>
      <c r="E8" s="98"/>
      <c r="F8" s="98"/>
      <c r="G8" s="98"/>
      <c r="H8" s="98"/>
      <c r="I8" s="98"/>
    </row>
    <row r="9" spans="1:9" ht="12.75">
      <c r="A9" s="98" t="s">
        <v>485</v>
      </c>
      <c r="B9" s="98"/>
      <c r="C9" s="98" t="s">
        <v>486</v>
      </c>
      <c r="D9" s="98"/>
      <c r="E9" s="98"/>
      <c r="F9" s="98"/>
      <c r="G9" s="98"/>
      <c r="H9" s="98"/>
      <c r="I9" s="98"/>
    </row>
    <row r="10" spans="1:9" ht="12.75">
      <c r="A10" s="96"/>
      <c r="B10" s="96"/>
      <c r="C10" s="96"/>
      <c r="D10" s="96"/>
      <c r="E10" s="96"/>
      <c r="F10" s="96"/>
      <c r="G10" s="96"/>
      <c r="H10" s="96"/>
      <c r="I10" s="96"/>
    </row>
    <row r="11" spans="1:9" ht="22.5">
      <c r="A11" s="99" t="s">
        <v>79</v>
      </c>
      <c r="B11" s="100" t="s">
        <v>487</v>
      </c>
      <c r="C11" s="100" t="s">
        <v>80</v>
      </c>
      <c r="D11" s="100" t="s">
        <v>81</v>
      </c>
      <c r="E11" s="100" t="s">
        <v>82</v>
      </c>
      <c r="F11" s="100" t="s">
        <v>2</v>
      </c>
      <c r="G11" s="100" t="s">
        <v>83</v>
      </c>
      <c r="H11" s="100" t="s">
        <v>84</v>
      </c>
      <c r="I11" s="100" t="s">
        <v>18</v>
      </c>
    </row>
    <row r="12" spans="1:9" ht="12.75">
      <c r="A12" s="101">
        <v>1</v>
      </c>
      <c r="B12" s="102">
        <v>2</v>
      </c>
      <c r="C12" s="102">
        <v>3</v>
      </c>
      <c r="D12" s="102">
        <v>4</v>
      </c>
      <c r="E12" s="102">
        <v>5</v>
      </c>
      <c r="F12" s="102">
        <v>6</v>
      </c>
      <c r="G12" s="102">
        <v>7</v>
      </c>
      <c r="H12" s="102">
        <v>8</v>
      </c>
      <c r="I12" s="102">
        <v>9</v>
      </c>
    </row>
    <row r="13" spans="1:9" ht="12.75">
      <c r="A13" s="96"/>
      <c r="B13" s="96"/>
      <c r="C13" s="96"/>
      <c r="D13" s="96"/>
      <c r="E13" s="96"/>
      <c r="F13" s="96"/>
      <c r="G13" s="96"/>
      <c r="H13" s="96"/>
      <c r="I13" s="96"/>
    </row>
    <row r="14" spans="1:9" ht="12.75">
      <c r="A14" s="145"/>
      <c r="B14" s="145" t="s">
        <v>488</v>
      </c>
      <c r="C14" s="145"/>
      <c r="D14" s="145">
        <v>1</v>
      </c>
      <c r="E14" s="145" t="s">
        <v>78</v>
      </c>
      <c r="F14" s="145"/>
      <c r="G14" s="145"/>
      <c r="H14" s="145"/>
      <c r="I14" s="147">
        <f>0.5*SUM(I16:I38)</f>
        <v>0</v>
      </c>
    </row>
    <row r="15" spans="1:9" ht="12.75">
      <c r="A15" s="110"/>
      <c r="B15" s="110"/>
      <c r="C15" s="110"/>
      <c r="D15" s="111"/>
      <c r="E15" s="126" t="s">
        <v>746</v>
      </c>
      <c r="F15" s="110"/>
      <c r="G15" s="113"/>
      <c r="H15" s="114"/>
      <c r="I15" s="114"/>
    </row>
    <row r="16" spans="1:9" ht="12.75">
      <c r="A16" s="110">
        <v>1</v>
      </c>
      <c r="B16" s="110" t="s">
        <v>489</v>
      </c>
      <c r="C16" s="110" t="s">
        <v>493</v>
      </c>
      <c r="D16" s="115"/>
      <c r="E16" s="146" t="s">
        <v>749</v>
      </c>
      <c r="F16" s="110" t="s">
        <v>72</v>
      </c>
      <c r="G16" s="113">
        <v>1</v>
      </c>
      <c r="H16" s="114"/>
      <c r="I16" s="114">
        <f aca="true" t="shared" si="0" ref="I16:I37">G16*H16</f>
        <v>0</v>
      </c>
    </row>
    <row r="17" spans="1:9" ht="22.5">
      <c r="A17" s="110">
        <v>2</v>
      </c>
      <c r="B17" s="110" t="s">
        <v>489</v>
      </c>
      <c r="C17" s="110" t="s">
        <v>493</v>
      </c>
      <c r="D17" s="111"/>
      <c r="E17" s="146" t="s">
        <v>741</v>
      </c>
      <c r="F17" s="110" t="s">
        <v>72</v>
      </c>
      <c r="G17" s="113">
        <v>1</v>
      </c>
      <c r="H17" s="114"/>
      <c r="I17" s="114">
        <f t="shared" si="0"/>
        <v>0</v>
      </c>
    </row>
    <row r="18" spans="1:9" ht="22.5">
      <c r="A18" s="110">
        <v>3</v>
      </c>
      <c r="B18" s="110" t="s">
        <v>489</v>
      </c>
      <c r="C18" s="110" t="s">
        <v>493</v>
      </c>
      <c r="D18" s="111"/>
      <c r="E18" s="146" t="s">
        <v>742</v>
      </c>
      <c r="F18" s="110" t="s">
        <v>72</v>
      </c>
      <c r="G18" s="113">
        <v>1</v>
      </c>
      <c r="H18" s="114"/>
      <c r="I18" s="114">
        <f t="shared" si="0"/>
        <v>0</v>
      </c>
    </row>
    <row r="19" spans="1:9" ht="12.75">
      <c r="A19" s="110">
        <v>4</v>
      </c>
      <c r="B19" s="110" t="s">
        <v>489</v>
      </c>
      <c r="C19" s="110" t="s">
        <v>493</v>
      </c>
      <c r="D19" s="111"/>
      <c r="E19" s="146" t="s">
        <v>743</v>
      </c>
      <c r="F19" s="110" t="s">
        <v>72</v>
      </c>
      <c r="G19" s="113">
        <v>1</v>
      </c>
      <c r="H19" s="114"/>
      <c r="I19" s="114">
        <f t="shared" si="0"/>
        <v>0</v>
      </c>
    </row>
    <row r="20" spans="1:9" ht="12.75">
      <c r="A20" s="110">
        <v>5</v>
      </c>
      <c r="B20" s="110" t="s">
        <v>489</v>
      </c>
      <c r="C20" s="110" t="s">
        <v>493</v>
      </c>
      <c r="D20" s="115"/>
      <c r="E20" s="146" t="s">
        <v>744</v>
      </c>
      <c r="F20" s="110" t="s">
        <v>72</v>
      </c>
      <c r="G20" s="113">
        <v>1</v>
      </c>
      <c r="H20" s="114"/>
      <c r="I20" s="114">
        <f t="shared" si="0"/>
        <v>0</v>
      </c>
    </row>
    <row r="21" spans="1:9" ht="22.5">
      <c r="A21" s="110">
        <v>6</v>
      </c>
      <c r="B21" s="110" t="s">
        <v>489</v>
      </c>
      <c r="C21" s="110" t="s">
        <v>493</v>
      </c>
      <c r="D21" s="111"/>
      <c r="E21" s="146" t="s">
        <v>748</v>
      </c>
      <c r="F21" s="110" t="s">
        <v>72</v>
      </c>
      <c r="G21" s="113">
        <v>1</v>
      </c>
      <c r="H21" s="114"/>
      <c r="I21" s="114">
        <f t="shared" si="0"/>
        <v>0</v>
      </c>
    </row>
    <row r="22" spans="1:9" ht="12.75">
      <c r="A22" s="110">
        <v>7</v>
      </c>
      <c r="B22" s="110" t="s">
        <v>489</v>
      </c>
      <c r="C22" s="110" t="s">
        <v>493</v>
      </c>
      <c r="D22" s="111"/>
      <c r="E22" s="146" t="s">
        <v>747</v>
      </c>
      <c r="F22" s="110" t="s">
        <v>72</v>
      </c>
      <c r="G22" s="113">
        <v>1</v>
      </c>
      <c r="H22" s="114"/>
      <c r="I22" s="114">
        <f t="shared" si="0"/>
        <v>0</v>
      </c>
    </row>
    <row r="23" spans="1:9" ht="12.75">
      <c r="A23" s="110"/>
      <c r="B23" s="110"/>
      <c r="C23" s="110"/>
      <c r="D23" s="111"/>
      <c r="E23" s="146" t="s">
        <v>15</v>
      </c>
      <c r="F23" s="110"/>
      <c r="G23" s="113"/>
      <c r="H23" s="114"/>
      <c r="I23" s="127">
        <f>SUM(I16:I22)</f>
        <v>0</v>
      </c>
    </row>
    <row r="24" spans="1:9" ht="12.75">
      <c r="A24" s="110"/>
      <c r="B24" s="110"/>
      <c r="C24" s="110"/>
      <c r="D24" s="111"/>
      <c r="E24" s="146"/>
      <c r="F24" s="110"/>
      <c r="G24" s="113"/>
      <c r="H24" s="114"/>
      <c r="I24" s="114"/>
    </row>
    <row r="25" spans="1:9" ht="12.75">
      <c r="A25" s="110"/>
      <c r="B25" s="110"/>
      <c r="C25" s="110"/>
      <c r="D25" s="115"/>
      <c r="E25" s="126" t="s">
        <v>16</v>
      </c>
      <c r="F25" s="110"/>
      <c r="G25" s="113"/>
      <c r="H25" s="114"/>
      <c r="I25" s="114"/>
    </row>
    <row r="26" spans="1:9" ht="12.75">
      <c r="A26" s="110">
        <v>8</v>
      </c>
      <c r="B26" s="110" t="s">
        <v>488</v>
      </c>
      <c r="C26" s="110" t="s">
        <v>493</v>
      </c>
      <c r="D26" s="111"/>
      <c r="E26" s="146" t="s">
        <v>50</v>
      </c>
      <c r="F26" s="110" t="s">
        <v>75</v>
      </c>
      <c r="G26" s="113">
        <v>30</v>
      </c>
      <c r="H26" s="114"/>
      <c r="I26" s="114">
        <f t="shared" si="0"/>
        <v>0</v>
      </c>
    </row>
    <row r="27" spans="1:9" ht="12.75">
      <c r="A27" s="110">
        <v>9</v>
      </c>
      <c r="B27" s="110" t="s">
        <v>488</v>
      </c>
      <c r="C27" s="110" t="s">
        <v>493</v>
      </c>
      <c r="D27" s="111"/>
      <c r="E27" s="146" t="s">
        <v>745</v>
      </c>
      <c r="F27" s="110" t="s">
        <v>72</v>
      </c>
      <c r="G27" s="113">
        <v>1</v>
      </c>
      <c r="H27" s="114"/>
      <c r="I27" s="114">
        <f t="shared" si="0"/>
        <v>0</v>
      </c>
    </row>
    <row r="28" spans="1:9" ht="12.75">
      <c r="A28" s="110">
        <v>10</v>
      </c>
      <c r="B28" s="110" t="s">
        <v>488</v>
      </c>
      <c r="C28" s="110" t="s">
        <v>493</v>
      </c>
      <c r="D28" s="111"/>
      <c r="E28" s="146" t="s">
        <v>19</v>
      </c>
      <c r="F28" s="110" t="s">
        <v>75</v>
      </c>
      <c r="G28" s="113">
        <v>30</v>
      </c>
      <c r="H28" s="114"/>
      <c r="I28" s="114">
        <f t="shared" si="0"/>
        <v>0</v>
      </c>
    </row>
    <row r="29" spans="1:9" ht="12.75">
      <c r="A29" s="110">
        <v>11</v>
      </c>
      <c r="B29" s="110" t="s">
        <v>488</v>
      </c>
      <c r="C29" s="110" t="s">
        <v>493</v>
      </c>
      <c r="D29" s="115"/>
      <c r="E29" s="146" t="s">
        <v>20</v>
      </c>
      <c r="F29" s="110" t="s">
        <v>72</v>
      </c>
      <c r="G29" s="113">
        <v>2</v>
      </c>
      <c r="H29" s="114"/>
      <c r="I29" s="114">
        <f t="shared" si="0"/>
        <v>0</v>
      </c>
    </row>
    <row r="30" spans="1:9" ht="12.75">
      <c r="A30" s="110">
        <v>12</v>
      </c>
      <c r="B30" s="110" t="s">
        <v>488</v>
      </c>
      <c r="C30" s="110" t="s">
        <v>493</v>
      </c>
      <c r="D30" s="111"/>
      <c r="E30" s="146" t="s">
        <v>52</v>
      </c>
      <c r="F30" s="110" t="s">
        <v>75</v>
      </c>
      <c r="G30" s="113">
        <v>27</v>
      </c>
      <c r="H30" s="114"/>
      <c r="I30" s="114">
        <f t="shared" si="0"/>
        <v>0</v>
      </c>
    </row>
    <row r="31" spans="1:9" ht="12.75">
      <c r="A31" s="110">
        <v>13</v>
      </c>
      <c r="B31" s="110" t="s">
        <v>488</v>
      </c>
      <c r="C31" s="110" t="s">
        <v>493</v>
      </c>
      <c r="D31" s="111"/>
      <c r="E31" s="146" t="s">
        <v>21</v>
      </c>
      <c r="F31" s="110" t="s">
        <v>72</v>
      </c>
      <c r="G31" s="113">
        <v>1</v>
      </c>
      <c r="H31" s="114"/>
      <c r="I31" s="114">
        <f t="shared" si="0"/>
        <v>0</v>
      </c>
    </row>
    <row r="32" spans="1:9" ht="12.75">
      <c r="A32" s="110">
        <v>14</v>
      </c>
      <c r="B32" s="110" t="s">
        <v>508</v>
      </c>
      <c r="C32" s="110" t="s">
        <v>509</v>
      </c>
      <c r="D32" s="111"/>
      <c r="E32" s="146" t="s">
        <v>1</v>
      </c>
      <c r="F32" s="110" t="s">
        <v>72</v>
      </c>
      <c r="G32" s="113">
        <v>1</v>
      </c>
      <c r="H32" s="114"/>
      <c r="I32" s="114">
        <f t="shared" si="0"/>
        <v>0</v>
      </c>
    </row>
    <row r="33" spans="1:9" ht="12.75">
      <c r="A33" s="110">
        <v>15</v>
      </c>
      <c r="B33" s="110" t="s">
        <v>489</v>
      </c>
      <c r="C33" s="110" t="s">
        <v>493</v>
      </c>
      <c r="D33" s="115"/>
      <c r="E33" s="146" t="s">
        <v>22</v>
      </c>
      <c r="F33" s="110" t="s">
        <v>72</v>
      </c>
      <c r="G33" s="113">
        <v>1</v>
      </c>
      <c r="H33" s="114"/>
      <c r="I33" s="114">
        <f t="shared" si="0"/>
        <v>0</v>
      </c>
    </row>
    <row r="34" spans="1:9" ht="12.75">
      <c r="A34" s="110"/>
      <c r="B34" s="110"/>
      <c r="C34" s="110"/>
      <c r="D34" s="111"/>
      <c r="E34" s="146" t="s">
        <v>15</v>
      </c>
      <c r="F34" s="110"/>
      <c r="G34" s="113"/>
      <c r="H34" s="114"/>
      <c r="I34" s="127">
        <f>SUM(I26:I33)</f>
        <v>0</v>
      </c>
    </row>
    <row r="35" spans="1:9" ht="12.75">
      <c r="A35" s="110"/>
      <c r="B35" s="110"/>
      <c r="C35" s="110"/>
      <c r="D35" s="111"/>
      <c r="E35" s="146"/>
      <c r="F35" s="110"/>
      <c r="G35" s="113"/>
      <c r="H35" s="114"/>
      <c r="I35" s="114"/>
    </row>
    <row r="36" spans="1:9" ht="12.75">
      <c r="A36" s="110"/>
      <c r="B36" s="110"/>
      <c r="C36" s="110"/>
      <c r="D36" s="111"/>
      <c r="E36" s="126" t="s">
        <v>17</v>
      </c>
      <c r="F36" s="110"/>
      <c r="G36" s="113"/>
      <c r="H36" s="114"/>
      <c r="I36" s="114"/>
    </row>
    <row r="37" spans="1:9" ht="22.5">
      <c r="A37" s="110">
        <v>16</v>
      </c>
      <c r="B37" s="110"/>
      <c r="C37" s="110"/>
      <c r="D37" s="111"/>
      <c r="E37" s="146" t="s">
        <v>51</v>
      </c>
      <c r="F37" s="110" t="s">
        <v>75</v>
      </c>
      <c r="G37" s="113">
        <v>25</v>
      </c>
      <c r="H37" s="114"/>
      <c r="I37" s="114">
        <f t="shared" si="0"/>
        <v>0</v>
      </c>
    </row>
    <row r="38" spans="1:9" ht="12.75">
      <c r="A38" s="110"/>
      <c r="B38" s="110"/>
      <c r="C38" s="110"/>
      <c r="D38" s="115"/>
      <c r="E38" s="146" t="s">
        <v>15</v>
      </c>
      <c r="F38" s="110"/>
      <c r="G38" s="113"/>
      <c r="H38" s="114"/>
      <c r="I38" s="127">
        <f>I37</f>
        <v>0</v>
      </c>
    </row>
    <row r="39" spans="1:9" ht="12.75">
      <c r="A39" s="110"/>
      <c r="B39" s="110"/>
      <c r="C39" s="110"/>
      <c r="D39" s="111"/>
      <c r="E39" s="146"/>
      <c r="F39" s="110"/>
      <c r="G39" s="113"/>
      <c r="H39" s="114"/>
      <c r="I39" s="114"/>
    </row>
    <row r="40" spans="1:9" ht="12.75">
      <c r="A40" s="110"/>
      <c r="B40" s="110"/>
      <c r="C40" s="110"/>
      <c r="D40" s="111"/>
      <c r="E40" s="148" t="s">
        <v>23</v>
      </c>
      <c r="F40" s="110"/>
      <c r="G40" s="113"/>
      <c r="H40" s="114"/>
      <c r="I40" s="130">
        <f>SUM(I38+I34+I23)</f>
        <v>0</v>
      </c>
    </row>
    <row r="41" spans="4:7" ht="12.75">
      <c r="D41" s="137"/>
      <c r="E41"/>
      <c r="F41" s="134"/>
      <c r="G41"/>
    </row>
    <row r="42" spans="4:7" ht="12.75">
      <c r="D42" s="137"/>
      <c r="E42"/>
      <c r="F42" s="134"/>
      <c r="G42"/>
    </row>
    <row r="43" spans="4:7" ht="12.75">
      <c r="D43" s="137"/>
      <c r="E43"/>
      <c r="F43" s="134"/>
      <c r="G43"/>
    </row>
    <row r="44" spans="4:7" ht="12.75">
      <c r="D44" s="137"/>
      <c r="E44"/>
      <c r="F44" s="134"/>
      <c r="G44"/>
    </row>
    <row r="45" spans="4:7" ht="12.75">
      <c r="D45" s="137"/>
      <c r="E45"/>
      <c r="F45" s="134"/>
      <c r="G45"/>
    </row>
    <row r="46" spans="4:7" ht="12.75">
      <c r="D46" s="137"/>
      <c r="E46"/>
      <c r="F46" s="134"/>
      <c r="G46"/>
    </row>
    <row r="47" spans="4:7" ht="12.75">
      <c r="D47" s="137"/>
      <c r="E47"/>
      <c r="F47" s="134"/>
      <c r="G47"/>
    </row>
    <row r="48" spans="4:7" ht="12.75">
      <c r="D48" s="137"/>
      <c r="E48"/>
      <c r="F48" s="134"/>
      <c r="G48"/>
    </row>
    <row r="49" spans="4:7" ht="12.75">
      <c r="D49" s="137"/>
      <c r="E49"/>
      <c r="F49" s="134"/>
      <c r="G49"/>
    </row>
    <row r="50" spans="4:7" ht="12.75">
      <c r="D50" s="137"/>
      <c r="E50"/>
      <c r="F50" s="134"/>
      <c r="G50"/>
    </row>
    <row r="51" spans="4:7" ht="12.75">
      <c r="D51" s="137"/>
      <c r="E51"/>
      <c r="F51" s="134"/>
      <c r="G51"/>
    </row>
    <row r="52" spans="4:7" ht="12.75">
      <c r="D52" s="137"/>
      <c r="E52"/>
      <c r="F52" s="134"/>
      <c r="G52"/>
    </row>
    <row r="53" spans="4:7" ht="12.75">
      <c r="D53" s="137"/>
      <c r="E53"/>
      <c r="F53" s="134"/>
      <c r="G53"/>
    </row>
    <row r="54" spans="4:7" ht="12.75">
      <c r="D54" s="137"/>
      <c r="E54"/>
      <c r="F54" s="134"/>
      <c r="G54"/>
    </row>
    <row r="55" spans="4:7" ht="12.75">
      <c r="D55" s="137"/>
      <c r="E55"/>
      <c r="F55" s="134"/>
      <c r="G55"/>
    </row>
    <row r="56" spans="4:7" ht="12.75">
      <c r="D56" s="137"/>
      <c r="E56"/>
      <c r="F56" s="134"/>
      <c r="G56"/>
    </row>
    <row r="57" spans="4:7" ht="12.75">
      <c r="D57" s="137"/>
      <c r="E57"/>
      <c r="F57" s="134"/>
      <c r="G57"/>
    </row>
    <row r="58" spans="4:7" ht="12.75">
      <c r="D58" s="137"/>
      <c r="E58"/>
      <c r="F58" s="134"/>
      <c r="G58"/>
    </row>
    <row r="59" spans="4:7" ht="12.75">
      <c r="D59" s="137"/>
      <c r="E59"/>
      <c r="F59" s="134"/>
      <c r="G59"/>
    </row>
    <row r="60" spans="4:7" ht="12.75">
      <c r="D60" s="137"/>
      <c r="E60"/>
      <c r="F60" s="134"/>
      <c r="G60"/>
    </row>
  </sheetData>
  <sheetProtection/>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68" r:id="rId1"/>
  <headerFooter alignWithMargins="0">
    <oddHeader>&amp;C&amp;F</oddHeader>
    <oddFooter>&amp;CStrana &amp;P z &amp;N</oddFooter>
  </headerFooter>
</worksheet>
</file>

<file path=xl/worksheets/sheet7.xml><?xml version="1.0" encoding="utf-8"?>
<worksheet xmlns="http://schemas.openxmlformats.org/spreadsheetml/2006/main" xmlns:r="http://schemas.openxmlformats.org/officeDocument/2006/relationships">
  <sheetPr>
    <tabColor rgb="FFFFFF00"/>
  </sheetPr>
  <dimension ref="A1:I162"/>
  <sheetViews>
    <sheetView zoomScalePageLayoutView="0" workbookViewId="0" topLeftCell="A1">
      <selection activeCell="A1" sqref="A1"/>
    </sheetView>
  </sheetViews>
  <sheetFormatPr defaultColWidth="9.00390625" defaultRowHeight="12.75"/>
  <cols>
    <col min="1" max="1" width="5.625" style="131" customWidth="1"/>
    <col min="2" max="2" width="4.375" style="131" customWidth="1"/>
    <col min="3" max="3" width="4.75390625" style="131" customWidth="1"/>
    <col min="4" max="4" width="12.75390625" style="131" customWidth="1"/>
    <col min="5" max="5" width="55.625" style="131" customWidth="1"/>
    <col min="6" max="6" width="4.75390625" style="131" customWidth="1"/>
    <col min="7" max="7" width="9.875" style="131" customWidth="1"/>
    <col min="8" max="8" width="9.75390625" style="131" customWidth="1"/>
    <col min="9" max="9" width="13.625" style="131" customWidth="1"/>
  </cols>
  <sheetData>
    <row r="1" spans="1:9" ht="18">
      <c r="A1" s="95" t="s">
        <v>478</v>
      </c>
      <c r="B1" s="96"/>
      <c r="C1" s="96"/>
      <c r="D1" s="96"/>
      <c r="E1" s="96"/>
      <c r="F1" s="96"/>
      <c r="G1" s="96"/>
      <c r="H1" s="96"/>
      <c r="I1" s="96"/>
    </row>
    <row r="2" spans="1:9" ht="12.75">
      <c r="A2" s="97" t="s">
        <v>479</v>
      </c>
      <c r="B2" s="98"/>
      <c r="C2" s="98" t="str">
        <f>'[13]Krycí list'!E5</f>
        <v>Kolešovice kanalizace</v>
      </c>
      <c r="D2" s="98"/>
      <c r="E2" s="98"/>
      <c r="F2" s="98"/>
      <c r="G2" s="98"/>
      <c r="H2" s="98"/>
      <c r="I2" s="98"/>
    </row>
    <row r="3" spans="1:9" ht="12.75">
      <c r="A3" s="97" t="s">
        <v>480</v>
      </c>
      <c r="B3" s="98"/>
      <c r="C3" s="98" t="str">
        <f>'[13]Krycí list'!E7</f>
        <v>ČSOV2, výtlak V1</v>
      </c>
      <c r="D3" s="98"/>
      <c r="E3" s="98"/>
      <c r="F3" s="98"/>
      <c r="G3" s="98"/>
      <c r="H3" s="98"/>
      <c r="I3" s="98"/>
    </row>
    <row r="4" spans="1:9" ht="12.75">
      <c r="A4" s="97" t="s">
        <v>481</v>
      </c>
      <c r="B4" s="98"/>
      <c r="C4" s="98" t="str">
        <f>'[13]Krycí list'!E9</f>
        <v> </v>
      </c>
      <c r="D4" s="98"/>
      <c r="E4" s="98"/>
      <c r="F4" s="98"/>
      <c r="G4" s="98"/>
      <c r="H4" s="98"/>
      <c r="I4" s="98"/>
    </row>
    <row r="5" spans="1:9" ht="12.75">
      <c r="A5" s="98" t="s">
        <v>482</v>
      </c>
      <c r="B5" s="98"/>
      <c r="C5" s="98" t="str">
        <f>'[13]Krycí list'!P5</f>
        <v> </v>
      </c>
      <c r="D5" s="98"/>
      <c r="E5" s="98"/>
      <c r="F5" s="98"/>
      <c r="G5" s="98"/>
      <c r="H5" s="98"/>
      <c r="I5" s="98"/>
    </row>
    <row r="6" spans="1:9" ht="12.75">
      <c r="A6" s="98"/>
      <c r="B6" s="98"/>
      <c r="C6" s="98"/>
      <c r="D6" s="98"/>
      <c r="E6" s="98"/>
      <c r="F6" s="98"/>
      <c r="G6" s="98"/>
      <c r="H6" s="98"/>
      <c r="I6" s="98"/>
    </row>
    <row r="7" spans="1:9" ht="12.75">
      <c r="A7" s="98" t="s">
        <v>483</v>
      </c>
      <c r="B7" s="98"/>
      <c r="C7" s="98" t="str">
        <f>'[13]Krycí list'!E26</f>
        <v> </v>
      </c>
      <c r="D7" s="98"/>
      <c r="E7" s="98"/>
      <c r="F7" s="98"/>
      <c r="G7" s="98"/>
      <c r="H7" s="98"/>
      <c r="I7" s="98"/>
    </row>
    <row r="8" spans="1:9" ht="12.75">
      <c r="A8" s="98" t="s">
        <v>484</v>
      </c>
      <c r="B8" s="98"/>
      <c r="C8" s="98" t="str">
        <f>'[13]Krycí list'!E28</f>
        <v> </v>
      </c>
      <c r="D8" s="98"/>
      <c r="E8" s="98"/>
      <c r="F8" s="98"/>
      <c r="G8" s="98"/>
      <c r="H8" s="98"/>
      <c r="I8" s="98"/>
    </row>
    <row r="9" spans="1:9" ht="12.75">
      <c r="A9" s="98" t="s">
        <v>485</v>
      </c>
      <c r="B9" s="98"/>
      <c r="C9" s="98" t="s">
        <v>486</v>
      </c>
      <c r="D9" s="98"/>
      <c r="E9" s="98"/>
      <c r="F9" s="98"/>
      <c r="G9" s="98"/>
      <c r="H9" s="98"/>
      <c r="I9" s="98"/>
    </row>
    <row r="10" spans="1:9" ht="12.75">
      <c r="A10" s="96"/>
      <c r="B10" s="96"/>
      <c r="C10" s="96"/>
      <c r="D10" s="96"/>
      <c r="E10" s="96"/>
      <c r="F10" s="96"/>
      <c r="G10" s="96"/>
      <c r="H10" s="96"/>
      <c r="I10" s="96"/>
    </row>
    <row r="11" spans="1:9" ht="22.5">
      <c r="A11" s="99" t="s">
        <v>79</v>
      </c>
      <c r="B11" s="100" t="s">
        <v>487</v>
      </c>
      <c r="C11" s="100" t="s">
        <v>80</v>
      </c>
      <c r="D11" s="100" t="s">
        <v>81</v>
      </c>
      <c r="E11" s="100" t="s">
        <v>82</v>
      </c>
      <c r="F11" s="100" t="s">
        <v>2</v>
      </c>
      <c r="G11" s="100" t="s">
        <v>83</v>
      </c>
      <c r="H11" s="100" t="s">
        <v>84</v>
      </c>
      <c r="I11" s="100" t="s">
        <v>18</v>
      </c>
    </row>
    <row r="12" spans="1:9" ht="12.75">
      <c r="A12" s="101">
        <v>1</v>
      </c>
      <c r="B12" s="102">
        <v>2</v>
      </c>
      <c r="C12" s="102">
        <v>3</v>
      </c>
      <c r="D12" s="102">
        <v>4</v>
      </c>
      <c r="E12" s="102">
        <v>5</v>
      </c>
      <c r="F12" s="102">
        <v>6</v>
      </c>
      <c r="G12" s="102">
        <v>7</v>
      </c>
      <c r="H12" s="102">
        <v>8</v>
      </c>
      <c r="I12" s="102">
        <v>9</v>
      </c>
    </row>
    <row r="13" spans="1:9" ht="12.75">
      <c r="A13" s="96"/>
      <c r="B13" s="96"/>
      <c r="C13" s="96"/>
      <c r="D13" s="96"/>
      <c r="E13" s="96"/>
      <c r="F13" s="96"/>
      <c r="G13" s="96"/>
      <c r="H13" s="96"/>
      <c r="I13" s="96"/>
    </row>
    <row r="14" spans="1:9" ht="12.75">
      <c r="A14" s="103"/>
      <c r="B14" s="104" t="s">
        <v>488</v>
      </c>
      <c r="C14" s="103"/>
      <c r="D14" s="103" t="s">
        <v>14</v>
      </c>
      <c r="E14" s="103" t="s">
        <v>91</v>
      </c>
      <c r="F14" s="103"/>
      <c r="G14" s="103"/>
      <c r="H14" s="103"/>
      <c r="I14" s="105">
        <f>I15+I125+I127+I156</f>
        <v>0</v>
      </c>
    </row>
    <row r="15" spans="1:9" ht="12.75">
      <c r="A15" s="106"/>
      <c r="B15" s="107" t="s">
        <v>488</v>
      </c>
      <c r="C15" s="106"/>
      <c r="D15" s="108" t="s">
        <v>24</v>
      </c>
      <c r="E15" s="108" t="s">
        <v>580</v>
      </c>
      <c r="F15" s="106"/>
      <c r="G15" s="106"/>
      <c r="H15" s="106"/>
      <c r="I15" s="109">
        <f>I16+SUM(I17:I98)</f>
        <v>0</v>
      </c>
    </row>
    <row r="16" spans="1:9" ht="12.75">
      <c r="A16" s="110" t="s">
        <v>24</v>
      </c>
      <c r="B16" s="110" t="s">
        <v>489</v>
      </c>
      <c r="C16" s="110" t="s">
        <v>92</v>
      </c>
      <c r="D16" s="111" t="s">
        <v>93</v>
      </c>
      <c r="E16" s="112" t="s">
        <v>94</v>
      </c>
      <c r="F16" s="110" t="s">
        <v>95</v>
      </c>
      <c r="G16" s="113">
        <v>240</v>
      </c>
      <c r="H16" s="114"/>
      <c r="I16" s="114">
        <f>ROUND(G16*H16,2)</f>
        <v>0</v>
      </c>
    </row>
    <row r="17" spans="1:9" ht="12.75">
      <c r="A17" s="110" t="s">
        <v>36</v>
      </c>
      <c r="B17" s="110" t="s">
        <v>489</v>
      </c>
      <c r="C17" s="110" t="s">
        <v>92</v>
      </c>
      <c r="D17" s="111" t="s">
        <v>96</v>
      </c>
      <c r="E17" s="112" t="s">
        <v>97</v>
      </c>
      <c r="F17" s="110" t="s">
        <v>98</v>
      </c>
      <c r="G17" s="113">
        <v>10</v>
      </c>
      <c r="H17" s="114"/>
      <c r="I17" s="114">
        <f>ROUND(G17*H17,2)</f>
        <v>0</v>
      </c>
    </row>
    <row r="18" spans="1:9" ht="12.75">
      <c r="A18" s="110" t="s">
        <v>85</v>
      </c>
      <c r="B18" s="110" t="s">
        <v>489</v>
      </c>
      <c r="C18" s="110" t="s">
        <v>92</v>
      </c>
      <c r="D18" s="111" t="s">
        <v>99</v>
      </c>
      <c r="E18" s="112" t="s">
        <v>100</v>
      </c>
      <c r="F18" s="110" t="s">
        <v>75</v>
      </c>
      <c r="G18" s="113">
        <v>15</v>
      </c>
      <c r="H18" s="114"/>
      <c r="I18" s="114">
        <f>ROUND(G18*H18,2)</f>
        <v>0</v>
      </c>
    </row>
    <row r="19" spans="1:9" ht="12.75">
      <c r="A19" s="110" t="s">
        <v>86</v>
      </c>
      <c r="B19" s="110" t="s">
        <v>489</v>
      </c>
      <c r="C19" s="110" t="s">
        <v>92</v>
      </c>
      <c r="D19" s="111" t="s">
        <v>101</v>
      </c>
      <c r="E19" s="112" t="s">
        <v>102</v>
      </c>
      <c r="F19" s="110" t="s">
        <v>103</v>
      </c>
      <c r="G19" s="113">
        <v>4</v>
      </c>
      <c r="H19" s="114"/>
      <c r="I19" s="114">
        <f>ROUND(G19*H19,2)</f>
        <v>0</v>
      </c>
    </row>
    <row r="20" spans="1:9" ht="12.75">
      <c r="A20" s="111"/>
      <c r="B20" s="111"/>
      <c r="C20" s="111"/>
      <c r="D20" s="115"/>
      <c r="E20" s="115" t="s">
        <v>86</v>
      </c>
      <c r="F20" s="111"/>
      <c r="G20" s="116">
        <v>4</v>
      </c>
      <c r="H20" s="111"/>
      <c r="I20" s="111"/>
    </row>
    <row r="21" spans="1:9" ht="12.75">
      <c r="A21" s="110" t="s">
        <v>87</v>
      </c>
      <c r="B21" s="110" t="s">
        <v>489</v>
      </c>
      <c r="C21" s="110" t="s">
        <v>92</v>
      </c>
      <c r="D21" s="111" t="s">
        <v>104</v>
      </c>
      <c r="E21" s="112" t="s">
        <v>105</v>
      </c>
      <c r="F21" s="110" t="s">
        <v>103</v>
      </c>
      <c r="G21" s="113">
        <v>61</v>
      </c>
      <c r="H21" s="114"/>
      <c r="I21" s="114">
        <f>ROUND(G21*H21,2)</f>
        <v>0</v>
      </c>
    </row>
    <row r="22" spans="1:9" ht="12.75">
      <c r="A22" s="110" t="s">
        <v>88</v>
      </c>
      <c r="B22" s="110" t="s">
        <v>489</v>
      </c>
      <c r="C22" s="110" t="s">
        <v>92</v>
      </c>
      <c r="D22" s="111" t="s">
        <v>772</v>
      </c>
      <c r="E22" s="112" t="s">
        <v>773</v>
      </c>
      <c r="F22" s="110" t="s">
        <v>103</v>
      </c>
      <c r="G22" s="113">
        <f>G24</f>
        <v>70.4</v>
      </c>
      <c r="H22" s="114"/>
      <c r="I22" s="114">
        <f>ROUND(G22*H22,2)</f>
        <v>0</v>
      </c>
    </row>
    <row r="23" spans="1:9" ht="12.75">
      <c r="A23" s="111"/>
      <c r="B23" s="111"/>
      <c r="C23" s="111"/>
      <c r="D23" s="117"/>
      <c r="E23" s="117" t="s">
        <v>490</v>
      </c>
      <c r="F23" s="111"/>
      <c r="G23" s="118"/>
      <c r="H23" s="111"/>
      <c r="I23" s="111"/>
    </row>
    <row r="24" spans="1:9" ht="12.75">
      <c r="A24" s="111"/>
      <c r="B24" s="111"/>
      <c r="C24" s="111"/>
      <c r="D24" s="115"/>
      <c r="E24" s="115" t="s">
        <v>774</v>
      </c>
      <c r="F24" s="111"/>
      <c r="G24" s="116">
        <f>4*4*5.5*0.8</f>
        <v>70.4</v>
      </c>
      <c r="H24" s="111"/>
      <c r="I24" s="111"/>
    </row>
    <row r="25" spans="1:9" ht="12.75">
      <c r="A25" s="110">
        <v>7</v>
      </c>
      <c r="B25" s="110" t="s">
        <v>489</v>
      </c>
      <c r="C25" s="110" t="s">
        <v>92</v>
      </c>
      <c r="D25" s="111" t="s">
        <v>106</v>
      </c>
      <c r="E25" s="112" t="s">
        <v>272</v>
      </c>
      <c r="F25" s="110" t="s">
        <v>103</v>
      </c>
      <c r="G25" s="113">
        <f>G26+G27</f>
        <v>39.322</v>
      </c>
      <c r="H25" s="114"/>
      <c r="I25" s="114">
        <f>ROUND(G25*H25,2)</f>
        <v>0</v>
      </c>
    </row>
    <row r="26" spans="1:9" ht="12.75">
      <c r="A26" s="111"/>
      <c r="B26" s="111"/>
      <c r="C26" s="111"/>
      <c r="D26" s="117"/>
      <c r="E26" s="117" t="s">
        <v>581</v>
      </c>
      <c r="F26" s="111"/>
      <c r="G26" s="119"/>
      <c r="H26" s="111"/>
      <c r="I26" s="111"/>
    </row>
    <row r="27" spans="1:9" ht="12.75">
      <c r="A27" s="111"/>
      <c r="B27" s="111"/>
      <c r="C27" s="111"/>
      <c r="D27" s="115"/>
      <c r="E27" s="115" t="s">
        <v>641</v>
      </c>
      <c r="F27" s="111"/>
      <c r="G27" s="116">
        <f>3.2*3.2*2.4*2*0.8</f>
        <v>39.322</v>
      </c>
      <c r="H27" s="111"/>
      <c r="I27" s="111"/>
    </row>
    <row r="28" spans="1:9" ht="12.75">
      <c r="A28" s="110">
        <v>8</v>
      </c>
      <c r="B28" s="110" t="s">
        <v>489</v>
      </c>
      <c r="C28" s="110" t="s">
        <v>92</v>
      </c>
      <c r="D28" s="111" t="s">
        <v>107</v>
      </c>
      <c r="E28" s="112" t="s">
        <v>108</v>
      </c>
      <c r="F28" s="110" t="s">
        <v>103</v>
      </c>
      <c r="G28" s="113">
        <f>G29</f>
        <v>11.797</v>
      </c>
      <c r="H28" s="114"/>
      <c r="I28" s="114">
        <f>ROUND(G28*H28,2)</f>
        <v>0</v>
      </c>
    </row>
    <row r="29" spans="1:9" ht="12.75">
      <c r="A29" s="111"/>
      <c r="B29" s="111"/>
      <c r="C29" s="111"/>
      <c r="D29" s="115"/>
      <c r="E29" s="115" t="s">
        <v>642</v>
      </c>
      <c r="F29" s="111"/>
      <c r="G29" s="116">
        <f>G25*0.3</f>
        <v>11.797</v>
      </c>
      <c r="H29" s="111"/>
      <c r="I29" s="111"/>
    </row>
    <row r="30" spans="1:9" ht="12.75">
      <c r="A30" s="110">
        <v>9</v>
      </c>
      <c r="B30" s="110" t="s">
        <v>489</v>
      </c>
      <c r="C30" s="110" t="s">
        <v>92</v>
      </c>
      <c r="D30" s="111" t="s">
        <v>775</v>
      </c>
      <c r="E30" s="112" t="s">
        <v>776</v>
      </c>
      <c r="F30" s="110" t="s">
        <v>103</v>
      </c>
      <c r="G30" s="113">
        <f>G31</f>
        <v>17.6</v>
      </c>
      <c r="H30" s="114"/>
      <c r="I30" s="114">
        <f>ROUND(G30*H30,2)</f>
        <v>0</v>
      </c>
    </row>
    <row r="31" spans="1:9" ht="12.75">
      <c r="A31" s="111"/>
      <c r="B31" s="111"/>
      <c r="C31" s="111"/>
      <c r="D31" s="115"/>
      <c r="E31" s="115" t="s">
        <v>777</v>
      </c>
      <c r="F31" s="111"/>
      <c r="G31" s="116">
        <f>4*4*5.5*0.2</f>
        <v>17.6</v>
      </c>
      <c r="H31" s="111"/>
      <c r="I31" s="111"/>
    </row>
    <row r="32" spans="1:9" ht="12.75">
      <c r="A32" s="110">
        <v>10</v>
      </c>
      <c r="B32" s="110" t="s">
        <v>489</v>
      </c>
      <c r="C32" s="110" t="s">
        <v>92</v>
      </c>
      <c r="D32" s="111" t="s">
        <v>109</v>
      </c>
      <c r="E32" s="112" t="s">
        <v>110</v>
      </c>
      <c r="F32" s="110" t="s">
        <v>103</v>
      </c>
      <c r="G32" s="113">
        <f>G33</f>
        <v>9.831</v>
      </c>
      <c r="H32" s="114"/>
      <c r="I32" s="114">
        <f>ROUND(G32*H32,2)</f>
        <v>0</v>
      </c>
    </row>
    <row r="33" spans="1:9" ht="12.75">
      <c r="A33" s="111"/>
      <c r="B33" s="111"/>
      <c r="C33" s="111"/>
      <c r="D33" s="115"/>
      <c r="E33" s="115" t="s">
        <v>778</v>
      </c>
      <c r="F33" s="111"/>
      <c r="G33" s="116">
        <f>G25/4</f>
        <v>9.831</v>
      </c>
      <c r="H33" s="111"/>
      <c r="I33" s="111"/>
    </row>
    <row r="34" spans="1:9" ht="12.75">
      <c r="A34" s="110">
        <v>11</v>
      </c>
      <c r="B34" s="110" t="s">
        <v>489</v>
      </c>
      <c r="C34" s="110" t="s">
        <v>92</v>
      </c>
      <c r="D34" s="111" t="s">
        <v>111</v>
      </c>
      <c r="E34" s="112" t="s">
        <v>112</v>
      </c>
      <c r="F34" s="110" t="s">
        <v>103</v>
      </c>
      <c r="G34" s="113">
        <f>G35</f>
        <v>2.949</v>
      </c>
      <c r="H34" s="114"/>
      <c r="I34" s="114">
        <f>ROUND(G34*H34,2)</f>
        <v>0</v>
      </c>
    </row>
    <row r="35" spans="1:9" ht="12.75">
      <c r="A35" s="111"/>
      <c r="B35" s="111"/>
      <c r="C35" s="111"/>
      <c r="D35" s="115"/>
      <c r="E35" s="115" t="s">
        <v>643</v>
      </c>
      <c r="F35" s="111"/>
      <c r="G35" s="116">
        <f>G33*0.3</f>
        <v>2.949</v>
      </c>
      <c r="H35" s="111"/>
      <c r="I35" s="111"/>
    </row>
    <row r="36" spans="1:9" ht="12.75">
      <c r="A36" s="110">
        <v>12</v>
      </c>
      <c r="B36" s="110" t="s">
        <v>489</v>
      </c>
      <c r="C36" s="110" t="s">
        <v>92</v>
      </c>
      <c r="D36" s="111" t="s">
        <v>113</v>
      </c>
      <c r="E36" s="112" t="s">
        <v>114</v>
      </c>
      <c r="F36" s="110" t="s">
        <v>103</v>
      </c>
      <c r="G36" s="113">
        <f>G37</f>
        <v>277.452</v>
      </c>
      <c r="H36" s="114"/>
      <c r="I36" s="114">
        <f>ROUND(G36*H36,2)</f>
        <v>0</v>
      </c>
    </row>
    <row r="37" spans="1:9" ht="12.75">
      <c r="A37" s="111"/>
      <c r="B37" s="111"/>
      <c r="C37" s="111"/>
      <c r="D37" s="115"/>
      <c r="E37" s="115" t="s">
        <v>644</v>
      </c>
      <c r="F37" s="111"/>
      <c r="G37" s="116">
        <f>256.9*0.9*(1.7-0.2)*0.8</f>
        <v>277.452</v>
      </c>
      <c r="H37" s="111"/>
      <c r="I37" s="111"/>
    </row>
    <row r="38" spans="1:9" ht="12.75">
      <c r="A38" s="110">
        <v>13</v>
      </c>
      <c r="B38" s="110" t="s">
        <v>489</v>
      </c>
      <c r="C38" s="110" t="s">
        <v>493</v>
      </c>
      <c r="D38" s="111" t="s">
        <v>115</v>
      </c>
      <c r="E38" s="112" t="s">
        <v>116</v>
      </c>
      <c r="F38" s="110" t="s">
        <v>103</v>
      </c>
      <c r="G38" s="113">
        <f>G39</f>
        <v>83.236</v>
      </c>
      <c r="H38" s="114"/>
      <c r="I38" s="114">
        <f>ROUND(G38*H38,2)</f>
        <v>0</v>
      </c>
    </row>
    <row r="39" spans="1:9" ht="12.75">
      <c r="A39" s="111"/>
      <c r="B39" s="111"/>
      <c r="C39" s="111"/>
      <c r="D39" s="115"/>
      <c r="E39" s="115" t="s">
        <v>646</v>
      </c>
      <c r="F39" s="111"/>
      <c r="G39" s="116">
        <f>G37*0.3</f>
        <v>83.236</v>
      </c>
      <c r="H39" s="111"/>
      <c r="I39" s="111"/>
    </row>
    <row r="40" spans="1:9" ht="12.75">
      <c r="A40" s="110">
        <v>14</v>
      </c>
      <c r="B40" s="110" t="s">
        <v>489</v>
      </c>
      <c r="C40" s="110" t="s">
        <v>92</v>
      </c>
      <c r="D40" s="111" t="s">
        <v>117</v>
      </c>
      <c r="E40" s="112" t="s">
        <v>274</v>
      </c>
      <c r="F40" s="110" t="s">
        <v>103</v>
      </c>
      <c r="G40" s="113">
        <f>G41</f>
        <v>69.363</v>
      </c>
      <c r="H40" s="114"/>
      <c r="I40" s="114">
        <f>ROUND(G40*H40,2)</f>
        <v>0</v>
      </c>
    </row>
    <row r="41" spans="1:9" ht="12.75">
      <c r="A41" s="111"/>
      <c r="B41" s="111"/>
      <c r="C41" s="111"/>
      <c r="D41" s="115"/>
      <c r="E41" s="115" t="s">
        <v>645</v>
      </c>
      <c r="F41" s="111"/>
      <c r="G41" s="116">
        <f>G37/4</f>
        <v>69.363</v>
      </c>
      <c r="H41" s="111"/>
      <c r="I41" s="111"/>
    </row>
    <row r="42" spans="1:9" ht="12.75">
      <c r="A42" s="110">
        <v>15</v>
      </c>
      <c r="B42" s="110" t="s">
        <v>489</v>
      </c>
      <c r="C42" s="110" t="s">
        <v>92</v>
      </c>
      <c r="D42" s="111" t="s">
        <v>118</v>
      </c>
      <c r="E42" s="112" t="s">
        <v>119</v>
      </c>
      <c r="F42" s="110" t="s">
        <v>103</v>
      </c>
      <c r="G42" s="113">
        <f>G43</f>
        <v>20.809</v>
      </c>
      <c r="H42" s="114"/>
      <c r="I42" s="114">
        <f>ROUND(G42*H42,2)</f>
        <v>0</v>
      </c>
    </row>
    <row r="43" spans="1:9" ht="12.75">
      <c r="A43" s="111"/>
      <c r="B43" s="111"/>
      <c r="C43" s="111"/>
      <c r="D43" s="115"/>
      <c r="E43" s="115" t="s">
        <v>646</v>
      </c>
      <c r="F43" s="111"/>
      <c r="G43" s="116">
        <f>G41*0.3</f>
        <v>20.809</v>
      </c>
      <c r="H43" s="111"/>
      <c r="I43" s="111"/>
    </row>
    <row r="44" spans="1:9" ht="22.5">
      <c r="A44" s="110">
        <v>16</v>
      </c>
      <c r="B44" s="110" t="s">
        <v>489</v>
      </c>
      <c r="C44" s="110" t="s">
        <v>779</v>
      </c>
      <c r="D44" s="111" t="s">
        <v>780</v>
      </c>
      <c r="E44" s="112" t="s">
        <v>781</v>
      </c>
      <c r="F44" s="110" t="s">
        <v>75</v>
      </c>
      <c r="G44" s="113">
        <v>16</v>
      </c>
      <c r="H44" s="114"/>
      <c r="I44" s="114">
        <f>ROUND(G44*H44,2)</f>
        <v>0</v>
      </c>
    </row>
    <row r="45" spans="1:9" ht="12.75">
      <c r="A45" s="111"/>
      <c r="B45" s="111"/>
      <c r="C45" s="111"/>
      <c r="D45" s="115"/>
      <c r="E45" s="115" t="s">
        <v>782</v>
      </c>
      <c r="F45" s="111"/>
      <c r="G45" s="116">
        <v>16</v>
      </c>
      <c r="H45" s="111"/>
      <c r="I45" s="111"/>
    </row>
    <row r="46" spans="1:9" ht="12.75">
      <c r="A46" s="110">
        <v>17</v>
      </c>
      <c r="B46" s="120" t="s">
        <v>508</v>
      </c>
      <c r="C46" s="120" t="s">
        <v>509</v>
      </c>
      <c r="D46" s="121" t="s">
        <v>783</v>
      </c>
      <c r="E46" s="122" t="s">
        <v>784</v>
      </c>
      <c r="F46" s="120" t="s">
        <v>157</v>
      </c>
      <c r="G46" s="123">
        <v>19.84</v>
      </c>
      <c r="H46" s="124"/>
      <c r="I46" s="124">
        <f>ROUND(G46*H46,2)</f>
        <v>0</v>
      </c>
    </row>
    <row r="47" spans="1:9" ht="12.75">
      <c r="A47" s="111"/>
      <c r="B47" s="111"/>
      <c r="C47" s="111"/>
      <c r="D47" s="111"/>
      <c r="E47" s="149" t="s">
        <v>785</v>
      </c>
      <c r="F47" s="111"/>
      <c r="G47" s="111"/>
      <c r="H47" s="111"/>
      <c r="I47" s="111"/>
    </row>
    <row r="48" spans="1:9" ht="12.75">
      <c r="A48" s="110"/>
      <c r="B48" s="111"/>
      <c r="C48" s="111"/>
      <c r="D48" s="115"/>
      <c r="E48" s="115" t="s">
        <v>786</v>
      </c>
      <c r="F48" s="111"/>
      <c r="G48" s="116">
        <v>19.84</v>
      </c>
      <c r="H48" s="111"/>
      <c r="I48" s="111"/>
    </row>
    <row r="49" spans="1:9" ht="22.5">
      <c r="A49" s="110">
        <v>18</v>
      </c>
      <c r="B49" s="110" t="s">
        <v>489</v>
      </c>
      <c r="C49" s="110" t="s">
        <v>779</v>
      </c>
      <c r="D49" s="111" t="s">
        <v>787</v>
      </c>
      <c r="E49" s="112" t="s">
        <v>788</v>
      </c>
      <c r="F49" s="110" t="s">
        <v>129</v>
      </c>
      <c r="G49" s="113">
        <v>128</v>
      </c>
      <c r="H49" s="114"/>
      <c r="I49" s="114">
        <f>ROUND(G49*H49,2)</f>
        <v>0</v>
      </c>
    </row>
    <row r="50" spans="1:9" ht="12.75">
      <c r="A50" s="110"/>
      <c r="B50" s="111"/>
      <c r="C50" s="111"/>
      <c r="D50" s="115"/>
      <c r="E50" s="115" t="s">
        <v>789</v>
      </c>
      <c r="F50" s="111"/>
      <c r="G50" s="116">
        <v>128</v>
      </c>
      <c r="H50" s="111"/>
      <c r="I50" s="111"/>
    </row>
    <row r="51" spans="1:9" ht="22.5">
      <c r="A51" s="110">
        <v>19</v>
      </c>
      <c r="B51" s="110" t="s">
        <v>489</v>
      </c>
      <c r="C51" s="110" t="s">
        <v>779</v>
      </c>
      <c r="D51" s="111" t="s">
        <v>790</v>
      </c>
      <c r="E51" s="112" t="s">
        <v>791</v>
      </c>
      <c r="F51" s="110" t="s">
        <v>129</v>
      </c>
      <c r="G51" s="113">
        <v>128</v>
      </c>
      <c r="H51" s="114"/>
      <c r="I51" s="114">
        <f>ROUND(G51*H51,2)</f>
        <v>0</v>
      </c>
    </row>
    <row r="52" spans="1:9" ht="12.75">
      <c r="A52" s="110">
        <v>20</v>
      </c>
      <c r="B52" s="110" t="s">
        <v>489</v>
      </c>
      <c r="C52" s="110" t="s">
        <v>92</v>
      </c>
      <c r="D52" s="111" t="s">
        <v>120</v>
      </c>
      <c r="E52" s="112" t="s">
        <v>121</v>
      </c>
      <c r="F52" s="110" t="s">
        <v>103</v>
      </c>
      <c r="G52" s="113">
        <f>G53</f>
        <v>363.968</v>
      </c>
      <c r="H52" s="114"/>
      <c r="I52" s="114">
        <f>ROUND(G52*H52,2)</f>
        <v>0</v>
      </c>
    </row>
    <row r="53" spans="1:9" ht="12.75">
      <c r="A53" s="111"/>
      <c r="B53" s="111"/>
      <c r="C53" s="111"/>
      <c r="D53" s="115"/>
      <c r="E53" s="115" t="s">
        <v>649</v>
      </c>
      <c r="F53" s="111"/>
      <c r="G53" s="116">
        <f>G25+G32+G36+G40-G55-G57</f>
        <v>363.968</v>
      </c>
      <c r="H53" s="111"/>
      <c r="I53" s="111"/>
    </row>
    <row r="54" spans="1:9" ht="12.75">
      <c r="A54" s="110">
        <v>21</v>
      </c>
      <c r="B54" s="110" t="s">
        <v>489</v>
      </c>
      <c r="C54" s="110" t="s">
        <v>92</v>
      </c>
      <c r="D54" s="111" t="s">
        <v>122</v>
      </c>
      <c r="E54" s="112" t="s">
        <v>123</v>
      </c>
      <c r="F54" s="110" t="s">
        <v>103</v>
      </c>
      <c r="G54" s="113">
        <f>G55</f>
        <v>24</v>
      </c>
      <c r="H54" s="114"/>
      <c r="I54" s="114">
        <f>ROUND(G54*H54,2)</f>
        <v>0</v>
      </c>
    </row>
    <row r="55" spans="1:9" ht="12.75">
      <c r="A55" s="111"/>
      <c r="B55" s="111"/>
      <c r="C55" s="111"/>
      <c r="D55" s="115"/>
      <c r="E55" s="115" t="s">
        <v>124</v>
      </c>
      <c r="F55" s="111"/>
      <c r="G55" s="116">
        <f>4*4*1.5</f>
        <v>24</v>
      </c>
      <c r="H55" s="111"/>
      <c r="I55" s="111"/>
    </row>
    <row r="56" spans="1:9" ht="12.75">
      <c r="A56" s="110">
        <v>22</v>
      </c>
      <c r="B56" s="110" t="s">
        <v>489</v>
      </c>
      <c r="C56" s="110" t="s">
        <v>92</v>
      </c>
      <c r="D56" s="111" t="s">
        <v>125</v>
      </c>
      <c r="E56" s="112" t="s">
        <v>126</v>
      </c>
      <c r="F56" s="110" t="s">
        <v>103</v>
      </c>
      <c r="G56" s="113">
        <f>G57</f>
        <v>8</v>
      </c>
      <c r="H56" s="114"/>
      <c r="I56" s="114">
        <f>ROUND(G56*H56,2)</f>
        <v>0</v>
      </c>
    </row>
    <row r="57" spans="1:9" ht="12.75">
      <c r="A57" s="111"/>
      <c r="B57" s="111"/>
      <c r="C57" s="111"/>
      <c r="D57" s="115"/>
      <c r="E57" s="115" t="s">
        <v>648</v>
      </c>
      <c r="F57" s="111"/>
      <c r="G57" s="116">
        <f>4*4*0.5</f>
        <v>8</v>
      </c>
      <c r="H57" s="111"/>
      <c r="I57" s="111"/>
    </row>
    <row r="58" spans="1:9" ht="12.75">
      <c r="A58" s="110">
        <v>23</v>
      </c>
      <c r="B58" s="110" t="s">
        <v>489</v>
      </c>
      <c r="C58" s="110" t="s">
        <v>92</v>
      </c>
      <c r="D58" s="111" t="s">
        <v>127</v>
      </c>
      <c r="E58" s="112" t="s">
        <v>128</v>
      </c>
      <c r="F58" s="110" t="s">
        <v>129</v>
      </c>
      <c r="G58" s="113">
        <f>G59</f>
        <v>770.7</v>
      </c>
      <c r="H58" s="114"/>
      <c r="I58" s="114">
        <f>ROUND(G58*H58,2)</f>
        <v>0</v>
      </c>
    </row>
    <row r="59" spans="1:9" ht="12.75">
      <c r="A59" s="111"/>
      <c r="B59" s="111"/>
      <c r="C59" s="111"/>
      <c r="D59" s="115"/>
      <c r="E59" s="115" t="s">
        <v>130</v>
      </c>
      <c r="F59" s="111"/>
      <c r="G59" s="116">
        <f>256.9*(1.7-0.2)*2</f>
        <v>770.7</v>
      </c>
      <c r="H59" s="111"/>
      <c r="I59" s="111"/>
    </row>
    <row r="60" spans="1:9" ht="12.75">
      <c r="A60" s="110">
        <v>24</v>
      </c>
      <c r="B60" s="110" t="s">
        <v>489</v>
      </c>
      <c r="C60" s="110" t="s">
        <v>92</v>
      </c>
      <c r="D60" s="111" t="s">
        <v>132</v>
      </c>
      <c r="E60" s="112" t="s">
        <v>133</v>
      </c>
      <c r="F60" s="110" t="s">
        <v>129</v>
      </c>
      <c r="G60" s="113">
        <f>G59</f>
        <v>770.7</v>
      </c>
      <c r="H60" s="114"/>
      <c r="I60" s="114">
        <f>ROUND(G60*H60,2)</f>
        <v>0</v>
      </c>
    </row>
    <row r="61" spans="1:9" ht="12.75">
      <c r="A61" s="110">
        <v>25</v>
      </c>
      <c r="B61" s="110" t="s">
        <v>489</v>
      </c>
      <c r="C61" s="110" t="s">
        <v>92</v>
      </c>
      <c r="D61" s="111" t="s">
        <v>134</v>
      </c>
      <c r="E61" s="112" t="s">
        <v>135</v>
      </c>
      <c r="F61" s="110" t="s">
        <v>129</v>
      </c>
      <c r="G61" s="113">
        <f>G62</f>
        <v>32</v>
      </c>
      <c r="H61" s="114"/>
      <c r="I61" s="114">
        <f>ROUND(G61*H61,2)</f>
        <v>0</v>
      </c>
    </row>
    <row r="62" spans="1:9" ht="12.75">
      <c r="A62" s="111"/>
      <c r="B62" s="111"/>
      <c r="C62" s="111"/>
      <c r="D62" s="115"/>
      <c r="E62" s="115" t="s">
        <v>131</v>
      </c>
      <c r="F62" s="111"/>
      <c r="G62" s="116">
        <f>4*4*2</f>
        <v>32</v>
      </c>
      <c r="H62" s="111"/>
      <c r="I62" s="111"/>
    </row>
    <row r="63" spans="1:9" ht="12.75">
      <c r="A63" s="110">
        <v>26</v>
      </c>
      <c r="B63" s="110" t="s">
        <v>489</v>
      </c>
      <c r="C63" s="110" t="s">
        <v>92</v>
      </c>
      <c r="D63" s="111" t="s">
        <v>136</v>
      </c>
      <c r="E63" s="112" t="s">
        <v>137</v>
      </c>
      <c r="F63" s="110" t="s">
        <v>129</v>
      </c>
      <c r="G63" s="113">
        <f>G62</f>
        <v>32</v>
      </c>
      <c r="H63" s="114"/>
      <c r="I63" s="114">
        <f>ROUND(G63*H63,2)</f>
        <v>0</v>
      </c>
    </row>
    <row r="64" spans="1:9" ht="12.75">
      <c r="A64" s="110">
        <v>27</v>
      </c>
      <c r="B64" s="110" t="s">
        <v>489</v>
      </c>
      <c r="C64" s="110" t="s">
        <v>92</v>
      </c>
      <c r="D64" s="111" t="s">
        <v>138</v>
      </c>
      <c r="E64" s="112" t="s">
        <v>139</v>
      </c>
      <c r="F64" s="110" t="s">
        <v>129</v>
      </c>
      <c r="G64" s="113">
        <f>G65</f>
        <v>8</v>
      </c>
      <c r="H64" s="114"/>
      <c r="I64" s="114">
        <f>ROUND(G64*H64,2)</f>
        <v>0</v>
      </c>
    </row>
    <row r="65" spans="1:9" ht="12.75">
      <c r="A65" s="111"/>
      <c r="B65" s="111"/>
      <c r="C65" s="111"/>
      <c r="D65" s="115"/>
      <c r="E65" s="115" t="s">
        <v>648</v>
      </c>
      <c r="F65" s="111"/>
      <c r="G65" s="116">
        <f>4*4*0.5</f>
        <v>8</v>
      </c>
      <c r="H65" s="111"/>
      <c r="I65" s="111"/>
    </row>
    <row r="66" spans="1:9" ht="12.75">
      <c r="A66" s="110">
        <v>28</v>
      </c>
      <c r="B66" s="110" t="s">
        <v>489</v>
      </c>
      <c r="C66" s="110" t="s">
        <v>92</v>
      </c>
      <c r="D66" s="111" t="s">
        <v>140</v>
      </c>
      <c r="E66" s="112" t="s">
        <v>141</v>
      </c>
      <c r="F66" s="110" t="s">
        <v>129</v>
      </c>
      <c r="G66" s="113">
        <f>G65</f>
        <v>8</v>
      </c>
      <c r="H66" s="114"/>
      <c r="I66" s="114">
        <f>ROUND(G66*H66,2)</f>
        <v>0</v>
      </c>
    </row>
    <row r="67" spans="1:9" ht="12.75">
      <c r="A67" s="110">
        <v>29</v>
      </c>
      <c r="B67" s="110" t="s">
        <v>489</v>
      </c>
      <c r="C67" s="110" t="s">
        <v>92</v>
      </c>
      <c r="D67" s="111" t="s">
        <v>142</v>
      </c>
      <c r="E67" s="112" t="s">
        <v>143</v>
      </c>
      <c r="F67" s="110" t="s">
        <v>103</v>
      </c>
      <c r="G67" s="113">
        <f>G69+G71</f>
        <v>797.21</v>
      </c>
      <c r="H67" s="114"/>
      <c r="I67" s="114">
        <f>ROUND(G67*H67,2)</f>
        <v>0</v>
      </c>
    </row>
    <row r="68" spans="1:9" ht="12.75">
      <c r="A68" s="111"/>
      <c r="B68" s="111"/>
      <c r="C68" s="111"/>
      <c r="D68" s="117"/>
      <c r="E68" s="117" t="s">
        <v>640</v>
      </c>
      <c r="F68" s="111"/>
      <c r="G68" s="118"/>
      <c r="H68" s="111"/>
      <c r="I68" s="111"/>
    </row>
    <row r="69" spans="1:9" ht="12.75">
      <c r="A69" s="111"/>
      <c r="B69" s="111"/>
      <c r="C69" s="111"/>
      <c r="D69" s="115"/>
      <c r="E69" s="115" t="s">
        <v>647</v>
      </c>
      <c r="F69" s="111"/>
      <c r="G69" s="116">
        <f>96.922+24.231+277.452+69.363</f>
        <v>467.968</v>
      </c>
      <c r="H69" s="111"/>
      <c r="I69" s="111"/>
    </row>
    <row r="70" spans="1:9" ht="12.75">
      <c r="A70" s="111"/>
      <c r="B70" s="111"/>
      <c r="C70" s="111"/>
      <c r="D70" s="117"/>
      <c r="E70" s="117" t="s">
        <v>582</v>
      </c>
      <c r="F70" s="111"/>
      <c r="G70" s="119"/>
      <c r="H70" s="111"/>
      <c r="I70" s="111"/>
    </row>
    <row r="71" spans="1:9" ht="12.75">
      <c r="A71" s="111"/>
      <c r="B71" s="111"/>
      <c r="C71" s="111"/>
      <c r="D71" s="115"/>
      <c r="E71" s="115">
        <v>329.242</v>
      </c>
      <c r="F71" s="111"/>
      <c r="G71" s="116">
        <f>G84</f>
        <v>329.242</v>
      </c>
      <c r="H71" s="111"/>
      <c r="I71" s="111"/>
    </row>
    <row r="72" spans="1:9" ht="12.75">
      <c r="A72" s="110">
        <v>30</v>
      </c>
      <c r="B72" s="110" t="s">
        <v>489</v>
      </c>
      <c r="C72" s="110" t="s">
        <v>92</v>
      </c>
      <c r="D72" s="111" t="s">
        <v>144</v>
      </c>
      <c r="E72" s="112" t="s">
        <v>278</v>
      </c>
      <c r="F72" s="110" t="s">
        <v>103</v>
      </c>
      <c r="G72" s="113">
        <f>G73</f>
        <v>167.239</v>
      </c>
      <c r="H72" s="114"/>
      <c r="I72" s="114">
        <f>ROUND(G72*H72,2)</f>
        <v>0</v>
      </c>
    </row>
    <row r="73" spans="1:9" ht="12.75">
      <c r="A73" s="111"/>
      <c r="B73" s="111"/>
      <c r="C73" s="111"/>
      <c r="D73" s="115"/>
      <c r="E73" s="115" t="s">
        <v>145</v>
      </c>
      <c r="F73" s="111"/>
      <c r="G73" s="116">
        <v>167.239</v>
      </c>
      <c r="H73" s="111"/>
      <c r="I73" s="111"/>
    </row>
    <row r="74" spans="1:9" ht="12.75">
      <c r="A74" s="110">
        <v>31</v>
      </c>
      <c r="B74" s="110" t="s">
        <v>489</v>
      </c>
      <c r="C74" s="110" t="s">
        <v>92</v>
      </c>
      <c r="D74" s="111" t="s">
        <v>146</v>
      </c>
      <c r="E74" s="112" t="s">
        <v>147</v>
      </c>
      <c r="F74" s="110" t="s">
        <v>103</v>
      </c>
      <c r="G74" s="113">
        <f>G75</f>
        <v>167.329</v>
      </c>
      <c r="H74" s="114"/>
      <c r="I74" s="114">
        <f>ROUND(G74*H74,2)</f>
        <v>0</v>
      </c>
    </row>
    <row r="75" spans="1:9" ht="12.75">
      <c r="A75" s="111"/>
      <c r="B75" s="111"/>
      <c r="C75" s="111"/>
      <c r="D75" s="115"/>
      <c r="E75" s="115" t="s">
        <v>148</v>
      </c>
      <c r="F75" s="111"/>
      <c r="G75" s="116">
        <v>167.329</v>
      </c>
      <c r="H75" s="111"/>
      <c r="I75" s="111"/>
    </row>
    <row r="76" spans="1:9" ht="22.5">
      <c r="A76" s="110">
        <v>32</v>
      </c>
      <c r="B76" s="110" t="s">
        <v>489</v>
      </c>
      <c r="C76" s="110" t="s">
        <v>92</v>
      </c>
      <c r="D76" s="111" t="s">
        <v>149</v>
      </c>
      <c r="E76" s="112" t="s">
        <v>150</v>
      </c>
      <c r="F76" s="110" t="s">
        <v>103</v>
      </c>
      <c r="G76" s="113">
        <f>G77</f>
        <v>1338.632</v>
      </c>
      <c r="H76" s="114"/>
      <c r="I76" s="114">
        <f>ROUND(G76*H76,2)</f>
        <v>0</v>
      </c>
    </row>
    <row r="77" spans="1:9" ht="12.75">
      <c r="A77" s="111"/>
      <c r="B77" s="111"/>
      <c r="C77" s="111"/>
      <c r="D77" s="115"/>
      <c r="E77" s="115" t="s">
        <v>654</v>
      </c>
      <c r="F77" s="111"/>
      <c r="G77" s="116">
        <f>167.329*8</f>
        <v>1338.632</v>
      </c>
      <c r="H77" s="111"/>
      <c r="I77" s="111"/>
    </row>
    <row r="78" spans="1:9" ht="12.75">
      <c r="A78" s="110">
        <v>33</v>
      </c>
      <c r="B78" s="110" t="s">
        <v>489</v>
      </c>
      <c r="C78" s="110" t="s">
        <v>92</v>
      </c>
      <c r="D78" s="111" t="s">
        <v>151</v>
      </c>
      <c r="E78" s="112" t="s">
        <v>152</v>
      </c>
      <c r="F78" s="110" t="s">
        <v>103</v>
      </c>
      <c r="G78" s="113">
        <f>G79</f>
        <v>496.481</v>
      </c>
      <c r="H78" s="114"/>
      <c r="I78" s="114">
        <f>ROUND(G78*H78,2)</f>
        <v>0</v>
      </c>
    </row>
    <row r="79" spans="1:9" ht="12.75">
      <c r="A79" s="111"/>
      <c r="B79" s="111"/>
      <c r="C79" s="111"/>
      <c r="D79" s="115"/>
      <c r="E79" s="115" t="s">
        <v>655</v>
      </c>
      <c r="F79" s="111"/>
      <c r="G79" s="116">
        <f>G73+G84</f>
        <v>496.481</v>
      </c>
      <c r="H79" s="111"/>
      <c r="I79" s="111"/>
    </row>
    <row r="80" spans="1:9" ht="12.75">
      <c r="A80" s="110">
        <v>34</v>
      </c>
      <c r="B80" s="110" t="s">
        <v>489</v>
      </c>
      <c r="C80" s="110" t="s">
        <v>92</v>
      </c>
      <c r="D80" s="111" t="s">
        <v>153</v>
      </c>
      <c r="E80" s="112" t="s">
        <v>154</v>
      </c>
      <c r="F80" s="110" t="s">
        <v>103</v>
      </c>
      <c r="G80" s="113">
        <v>167.329</v>
      </c>
      <c r="H80" s="114"/>
      <c r="I80" s="114">
        <f>ROUND(G80*H80,2)</f>
        <v>0</v>
      </c>
    </row>
    <row r="81" spans="1:9" ht="12.75">
      <c r="A81" s="110">
        <v>35</v>
      </c>
      <c r="B81" s="110" t="s">
        <v>489</v>
      </c>
      <c r="C81" s="110" t="s">
        <v>92</v>
      </c>
      <c r="D81" s="111" t="s">
        <v>155</v>
      </c>
      <c r="E81" s="112" t="s">
        <v>156</v>
      </c>
      <c r="F81" s="110" t="s">
        <v>157</v>
      </c>
      <c r="G81" s="113">
        <f>G82</f>
        <v>284.459</v>
      </c>
      <c r="H81" s="114"/>
      <c r="I81" s="114">
        <f>ROUND(G81*H81,2)</f>
        <v>0</v>
      </c>
    </row>
    <row r="82" spans="1:9" ht="12.75">
      <c r="A82" s="111"/>
      <c r="B82" s="111"/>
      <c r="C82" s="111"/>
      <c r="D82" s="115"/>
      <c r="E82" s="115" t="s">
        <v>158</v>
      </c>
      <c r="F82" s="111"/>
      <c r="G82" s="116">
        <v>284.459</v>
      </c>
      <c r="H82" s="111"/>
      <c r="I82" s="111"/>
    </row>
    <row r="83" spans="1:9" ht="12.75">
      <c r="A83" s="110">
        <v>36</v>
      </c>
      <c r="B83" s="110" t="s">
        <v>489</v>
      </c>
      <c r="C83" s="110" t="s">
        <v>92</v>
      </c>
      <c r="D83" s="111" t="s">
        <v>159</v>
      </c>
      <c r="E83" s="112" t="s">
        <v>160</v>
      </c>
      <c r="F83" s="110" t="s">
        <v>103</v>
      </c>
      <c r="G83" s="113">
        <f>G84</f>
        <v>329.242</v>
      </c>
      <c r="H83" s="114"/>
      <c r="I83" s="114">
        <f>ROUND(G83*H83,2)</f>
        <v>0</v>
      </c>
    </row>
    <row r="84" spans="1:9" ht="12.75">
      <c r="A84" s="111"/>
      <c r="B84" s="111"/>
      <c r="C84" s="111"/>
      <c r="D84" s="115"/>
      <c r="E84" s="115" t="s">
        <v>653</v>
      </c>
      <c r="F84" s="111"/>
      <c r="G84" s="116">
        <f>96.922+24.231+277.452+69.363-23.121-115.605</f>
        <v>329.242</v>
      </c>
      <c r="H84" s="111"/>
      <c r="I84" s="111"/>
    </row>
    <row r="85" spans="1:9" ht="22.5">
      <c r="A85" s="110">
        <v>37</v>
      </c>
      <c r="B85" s="110" t="s">
        <v>489</v>
      </c>
      <c r="C85" s="110" t="s">
        <v>92</v>
      </c>
      <c r="D85" s="111" t="s">
        <v>161</v>
      </c>
      <c r="E85" s="112" t="s">
        <v>162</v>
      </c>
      <c r="F85" s="110" t="s">
        <v>129</v>
      </c>
      <c r="G85" s="113">
        <f>G86</f>
        <v>256.9</v>
      </c>
      <c r="H85" s="114"/>
      <c r="I85" s="114">
        <f>ROUND(G85*H85,2)</f>
        <v>0</v>
      </c>
    </row>
    <row r="86" spans="1:9" ht="12.75">
      <c r="A86" s="111"/>
      <c r="B86" s="111"/>
      <c r="C86" s="111"/>
      <c r="D86" s="115"/>
      <c r="E86" s="115" t="s">
        <v>650</v>
      </c>
      <c r="F86" s="111"/>
      <c r="G86" s="116">
        <f>256.9*1</f>
        <v>256.9</v>
      </c>
      <c r="H86" s="111"/>
      <c r="I86" s="111"/>
    </row>
    <row r="87" spans="1:9" ht="12.75">
      <c r="A87" s="110">
        <v>38</v>
      </c>
      <c r="B87" s="110" t="s">
        <v>489</v>
      </c>
      <c r="C87" s="110" t="s">
        <v>163</v>
      </c>
      <c r="D87" s="111" t="s">
        <v>164</v>
      </c>
      <c r="E87" s="112" t="s">
        <v>165</v>
      </c>
      <c r="F87" s="110" t="s">
        <v>129</v>
      </c>
      <c r="G87" s="113">
        <f>G88</f>
        <v>256.9</v>
      </c>
      <c r="H87" s="114"/>
      <c r="I87" s="114">
        <f>ROUND(G87*H87,2)</f>
        <v>0</v>
      </c>
    </row>
    <row r="88" spans="1:9" ht="12.75">
      <c r="A88" s="111"/>
      <c r="B88" s="111"/>
      <c r="C88" s="111"/>
      <c r="D88" s="115"/>
      <c r="E88" s="115" t="s">
        <v>650</v>
      </c>
      <c r="F88" s="111"/>
      <c r="G88" s="116">
        <f>256.9*1</f>
        <v>256.9</v>
      </c>
      <c r="H88" s="111"/>
      <c r="I88" s="111"/>
    </row>
    <row r="89" spans="1:9" ht="12.75">
      <c r="A89" s="120">
        <v>39</v>
      </c>
      <c r="B89" s="120" t="s">
        <v>508</v>
      </c>
      <c r="C89" s="120" t="s">
        <v>509</v>
      </c>
      <c r="D89" s="121" t="s">
        <v>166</v>
      </c>
      <c r="E89" s="122" t="s">
        <v>167</v>
      </c>
      <c r="F89" s="120" t="s">
        <v>168</v>
      </c>
      <c r="G89" s="123">
        <v>30.827</v>
      </c>
      <c r="H89" s="124"/>
      <c r="I89" s="124">
        <f>ROUND(G89*H89,2)</f>
        <v>0</v>
      </c>
    </row>
    <row r="90" spans="1:9" ht="12.75">
      <c r="A90" s="110">
        <v>40</v>
      </c>
      <c r="B90" s="110" t="s">
        <v>489</v>
      </c>
      <c r="C90" s="110" t="s">
        <v>92</v>
      </c>
      <c r="D90" s="111" t="s">
        <v>169</v>
      </c>
      <c r="E90" s="112" t="s">
        <v>170</v>
      </c>
      <c r="F90" s="110" t="s">
        <v>129</v>
      </c>
      <c r="G90" s="113">
        <f>G91</f>
        <v>177.69</v>
      </c>
      <c r="H90" s="114"/>
      <c r="I90" s="114">
        <f>ROUND(G90*H90,2)</f>
        <v>0</v>
      </c>
    </row>
    <row r="91" spans="1:9" ht="12.75">
      <c r="A91" s="111"/>
      <c r="B91" s="111"/>
      <c r="C91" s="111"/>
      <c r="D91" s="115"/>
      <c r="E91" s="115" t="s">
        <v>171</v>
      </c>
      <c r="F91" s="111"/>
      <c r="G91" s="116">
        <f>156.9*0.9+4*4+3.2*3.2*2</f>
        <v>177.69</v>
      </c>
      <c r="H91" s="111"/>
      <c r="I91" s="111"/>
    </row>
    <row r="92" spans="1:9" ht="22.5">
      <c r="A92" s="110">
        <v>41</v>
      </c>
      <c r="B92" s="110" t="s">
        <v>489</v>
      </c>
      <c r="C92" s="110" t="s">
        <v>92</v>
      </c>
      <c r="D92" s="111" t="s">
        <v>172</v>
      </c>
      <c r="E92" s="112" t="s">
        <v>173</v>
      </c>
      <c r="F92" s="110" t="s">
        <v>103</v>
      </c>
      <c r="G92" s="113">
        <f>G93</f>
        <v>115.605</v>
      </c>
      <c r="H92" s="114"/>
      <c r="I92" s="114">
        <f>ROUND(G92*H92,2)</f>
        <v>0</v>
      </c>
    </row>
    <row r="93" spans="1:9" ht="12.75">
      <c r="A93" s="111"/>
      <c r="B93" s="111"/>
      <c r="C93" s="111"/>
      <c r="D93" s="115"/>
      <c r="E93" s="115" t="s">
        <v>651</v>
      </c>
      <c r="F93" s="111"/>
      <c r="G93" s="116">
        <f>256.9*0.9*0.5</f>
        <v>115.605</v>
      </c>
      <c r="H93" s="111"/>
      <c r="I93" s="111"/>
    </row>
    <row r="94" spans="1:9" ht="12.75">
      <c r="A94" s="120">
        <v>42</v>
      </c>
      <c r="B94" s="120" t="s">
        <v>508</v>
      </c>
      <c r="C94" s="120" t="s">
        <v>509</v>
      </c>
      <c r="D94" s="121" t="s">
        <v>24</v>
      </c>
      <c r="E94" s="122" t="s">
        <v>174</v>
      </c>
      <c r="F94" s="120" t="s">
        <v>157</v>
      </c>
      <c r="G94" s="113">
        <f>G95</f>
        <v>208.089</v>
      </c>
      <c r="H94" s="124"/>
      <c r="I94" s="124">
        <f>ROUND(G94*H94,2)</f>
        <v>0</v>
      </c>
    </row>
    <row r="95" spans="1:9" ht="12.75">
      <c r="A95" s="111"/>
      <c r="B95" s="111"/>
      <c r="C95" s="111"/>
      <c r="D95" s="115"/>
      <c r="E95" s="115" t="s">
        <v>652</v>
      </c>
      <c r="F95" s="111"/>
      <c r="G95" s="116">
        <f>G93*1.8</f>
        <v>208.089</v>
      </c>
      <c r="H95" s="111"/>
      <c r="I95" s="111"/>
    </row>
    <row r="96" spans="1:9" ht="12.75">
      <c r="A96" s="110">
        <v>43</v>
      </c>
      <c r="B96" s="110" t="s">
        <v>489</v>
      </c>
      <c r="C96" s="110" t="s">
        <v>175</v>
      </c>
      <c r="D96" s="111" t="s">
        <v>176</v>
      </c>
      <c r="E96" s="112" t="s">
        <v>177</v>
      </c>
      <c r="F96" s="110" t="s">
        <v>103</v>
      </c>
      <c r="G96" s="113">
        <f>G97</f>
        <v>23.121</v>
      </c>
      <c r="H96" s="114"/>
      <c r="I96" s="114">
        <f>ROUND(G96*H96,2)</f>
        <v>0</v>
      </c>
    </row>
    <row r="97" spans="1:9" ht="12.75">
      <c r="A97" s="111"/>
      <c r="B97" s="111"/>
      <c r="C97" s="111"/>
      <c r="D97" s="115"/>
      <c r="E97" s="115" t="s">
        <v>178</v>
      </c>
      <c r="F97" s="111"/>
      <c r="G97" s="116">
        <f>256.9*0.9*0.1</f>
        <v>23.121</v>
      </c>
      <c r="H97" s="111"/>
      <c r="I97" s="111"/>
    </row>
    <row r="98" spans="1:9" ht="12.75">
      <c r="A98" s="106"/>
      <c r="B98" s="125" t="s">
        <v>488</v>
      </c>
      <c r="C98" s="106"/>
      <c r="D98" s="126" t="s">
        <v>90</v>
      </c>
      <c r="E98" s="126" t="s">
        <v>179</v>
      </c>
      <c r="F98" s="106"/>
      <c r="G98" s="106"/>
      <c r="H98" s="106"/>
      <c r="I98" s="127">
        <f>SUM(I99:I124)</f>
        <v>0</v>
      </c>
    </row>
    <row r="99" spans="1:9" ht="12.75">
      <c r="A99" s="110">
        <v>44</v>
      </c>
      <c r="B99" s="110" t="s">
        <v>489</v>
      </c>
      <c r="C99" s="110" t="s">
        <v>175</v>
      </c>
      <c r="D99" s="111" t="s">
        <v>180</v>
      </c>
      <c r="E99" s="112" t="s">
        <v>526</v>
      </c>
      <c r="F99" s="110" t="s">
        <v>181</v>
      </c>
      <c r="G99" s="113">
        <v>4</v>
      </c>
      <c r="H99" s="114"/>
      <c r="I99" s="114">
        <f>ROUND(G99*H99,2)</f>
        <v>0</v>
      </c>
    </row>
    <row r="100" spans="1:9" ht="12.75">
      <c r="A100" s="120">
        <v>45</v>
      </c>
      <c r="B100" s="120" t="s">
        <v>508</v>
      </c>
      <c r="C100" s="120" t="s">
        <v>509</v>
      </c>
      <c r="D100" s="121" t="s">
        <v>36</v>
      </c>
      <c r="E100" s="122" t="s">
        <v>528</v>
      </c>
      <c r="F100" s="120" t="s">
        <v>72</v>
      </c>
      <c r="G100" s="123">
        <v>4.04</v>
      </c>
      <c r="H100" s="124"/>
      <c r="I100" s="124">
        <f>ROUND(G100*H100,2)</f>
        <v>0</v>
      </c>
    </row>
    <row r="101" spans="1:9" ht="22.5">
      <c r="A101" s="110">
        <v>46</v>
      </c>
      <c r="B101" s="110" t="s">
        <v>489</v>
      </c>
      <c r="C101" s="110" t="s">
        <v>175</v>
      </c>
      <c r="D101" s="111" t="s">
        <v>182</v>
      </c>
      <c r="E101" s="112" t="s">
        <v>531</v>
      </c>
      <c r="F101" s="110" t="s">
        <v>181</v>
      </c>
      <c r="G101" s="113">
        <v>43</v>
      </c>
      <c r="H101" s="114"/>
      <c r="I101" s="114">
        <f>ROUND(G101*H101,2)</f>
        <v>0</v>
      </c>
    </row>
    <row r="102" spans="1:9" ht="12.75">
      <c r="A102" s="111"/>
      <c r="B102" s="111"/>
      <c r="C102" s="111"/>
      <c r="D102" s="117"/>
      <c r="E102" s="117" t="s">
        <v>583</v>
      </c>
      <c r="F102" s="111"/>
      <c r="G102" s="118"/>
      <c r="H102" s="111"/>
      <c r="I102" s="111"/>
    </row>
    <row r="103" spans="1:9" ht="12.75">
      <c r="A103" s="111"/>
      <c r="B103" s="111"/>
      <c r="C103" s="111"/>
      <c r="D103" s="115"/>
      <c r="E103" s="115" t="s">
        <v>183</v>
      </c>
      <c r="F103" s="111"/>
      <c r="G103" s="116">
        <v>43</v>
      </c>
      <c r="H103" s="111"/>
      <c r="I103" s="111"/>
    </row>
    <row r="104" spans="1:9" ht="12.75">
      <c r="A104" s="120">
        <v>47</v>
      </c>
      <c r="B104" s="120" t="s">
        <v>508</v>
      </c>
      <c r="C104" s="120" t="s">
        <v>509</v>
      </c>
      <c r="D104" s="121" t="s">
        <v>184</v>
      </c>
      <c r="E104" s="122" t="s">
        <v>534</v>
      </c>
      <c r="F104" s="120" t="s">
        <v>72</v>
      </c>
      <c r="G104" s="123">
        <v>43.43</v>
      </c>
      <c r="H104" s="124"/>
      <c r="I104" s="124">
        <f aca="true" t="shared" si="0" ref="I104:I120">ROUND(G104*H104,2)</f>
        <v>0</v>
      </c>
    </row>
    <row r="105" spans="1:9" ht="12.75">
      <c r="A105" s="110">
        <v>48</v>
      </c>
      <c r="B105" s="110" t="s">
        <v>489</v>
      </c>
      <c r="C105" s="110" t="s">
        <v>493</v>
      </c>
      <c r="D105" s="111" t="s">
        <v>514</v>
      </c>
      <c r="E105" s="112" t="s">
        <v>515</v>
      </c>
      <c r="F105" s="110" t="s">
        <v>72</v>
      </c>
      <c r="G105" s="113">
        <v>2</v>
      </c>
      <c r="H105" s="114"/>
      <c r="I105" s="114">
        <f t="shared" si="0"/>
        <v>0</v>
      </c>
    </row>
    <row r="106" spans="1:9" ht="12.75">
      <c r="A106" s="110">
        <v>49</v>
      </c>
      <c r="B106" s="110" t="s">
        <v>489</v>
      </c>
      <c r="C106" s="110" t="s">
        <v>493</v>
      </c>
      <c r="D106" s="111" t="s">
        <v>185</v>
      </c>
      <c r="E106" s="112" t="s">
        <v>522</v>
      </c>
      <c r="F106" s="110" t="s">
        <v>72</v>
      </c>
      <c r="G106" s="113">
        <v>2.02</v>
      </c>
      <c r="H106" s="114"/>
      <c r="I106" s="114">
        <f t="shared" si="0"/>
        <v>0</v>
      </c>
    </row>
    <row r="107" spans="1:9" ht="12.75">
      <c r="A107" s="110">
        <v>50</v>
      </c>
      <c r="B107" s="110" t="s">
        <v>489</v>
      </c>
      <c r="C107" s="110" t="s">
        <v>493</v>
      </c>
      <c r="D107" s="111" t="s">
        <v>186</v>
      </c>
      <c r="E107" s="112" t="s">
        <v>187</v>
      </c>
      <c r="F107" s="110" t="s">
        <v>72</v>
      </c>
      <c r="G107" s="113">
        <v>2.02</v>
      </c>
      <c r="H107" s="114"/>
      <c r="I107" s="114">
        <f t="shared" si="0"/>
        <v>0</v>
      </c>
    </row>
    <row r="108" spans="1:9" ht="12.75">
      <c r="A108" s="110">
        <v>51</v>
      </c>
      <c r="B108" s="110" t="s">
        <v>489</v>
      </c>
      <c r="C108" s="110" t="s">
        <v>493</v>
      </c>
      <c r="D108" s="111" t="s">
        <v>188</v>
      </c>
      <c r="E108" s="112" t="s">
        <v>517</v>
      </c>
      <c r="F108" s="110" t="s">
        <v>75</v>
      </c>
      <c r="G108" s="113">
        <v>256.9</v>
      </c>
      <c r="H108" s="114"/>
      <c r="I108" s="114">
        <f t="shared" si="0"/>
        <v>0</v>
      </c>
    </row>
    <row r="109" spans="1:9" ht="12.75">
      <c r="A109" s="110">
        <v>52</v>
      </c>
      <c r="B109" s="110" t="s">
        <v>489</v>
      </c>
      <c r="C109" s="110" t="s">
        <v>493</v>
      </c>
      <c r="D109" s="111" t="s">
        <v>189</v>
      </c>
      <c r="E109" s="112" t="s">
        <v>525</v>
      </c>
      <c r="F109" s="110" t="s">
        <v>75</v>
      </c>
      <c r="G109" s="113">
        <v>256.9</v>
      </c>
      <c r="H109" s="114"/>
      <c r="I109" s="114">
        <f t="shared" si="0"/>
        <v>0</v>
      </c>
    </row>
    <row r="110" spans="1:9" ht="22.5">
      <c r="A110" s="110">
        <v>53</v>
      </c>
      <c r="B110" s="110" t="s">
        <v>489</v>
      </c>
      <c r="C110" s="110" t="s">
        <v>175</v>
      </c>
      <c r="D110" s="111" t="s">
        <v>190</v>
      </c>
      <c r="E110" s="112" t="s">
        <v>191</v>
      </c>
      <c r="F110" s="110" t="s">
        <v>75</v>
      </c>
      <c r="G110" s="113">
        <v>256.9</v>
      </c>
      <c r="H110" s="114"/>
      <c r="I110" s="114">
        <f t="shared" si="0"/>
        <v>0</v>
      </c>
    </row>
    <row r="111" spans="1:9" ht="12.75">
      <c r="A111" s="120">
        <v>54</v>
      </c>
      <c r="B111" s="120" t="s">
        <v>508</v>
      </c>
      <c r="C111" s="120" t="s">
        <v>509</v>
      </c>
      <c r="D111" s="121" t="s">
        <v>192</v>
      </c>
      <c r="E111" s="122" t="s">
        <v>477</v>
      </c>
      <c r="F111" s="120" t="s">
        <v>75</v>
      </c>
      <c r="G111" s="123">
        <v>256.9</v>
      </c>
      <c r="H111" s="124"/>
      <c r="I111" s="124">
        <f t="shared" si="0"/>
        <v>0</v>
      </c>
    </row>
    <row r="112" spans="1:9" ht="12.75">
      <c r="A112" s="110">
        <v>55</v>
      </c>
      <c r="B112" s="110" t="s">
        <v>489</v>
      </c>
      <c r="C112" s="110" t="s">
        <v>493</v>
      </c>
      <c r="D112" s="111" t="s">
        <v>193</v>
      </c>
      <c r="E112" s="112" t="s">
        <v>519</v>
      </c>
      <c r="F112" s="110" t="s">
        <v>72</v>
      </c>
      <c r="G112" s="113">
        <v>7</v>
      </c>
      <c r="H112" s="114"/>
      <c r="I112" s="114">
        <f t="shared" si="0"/>
        <v>0</v>
      </c>
    </row>
    <row r="113" spans="1:9" ht="12.75">
      <c r="A113" s="110">
        <v>56</v>
      </c>
      <c r="B113" s="110" t="s">
        <v>489</v>
      </c>
      <c r="C113" s="110" t="s">
        <v>175</v>
      </c>
      <c r="D113" s="111" t="s">
        <v>194</v>
      </c>
      <c r="E113" s="112" t="s">
        <v>195</v>
      </c>
      <c r="F113" s="110" t="s">
        <v>72</v>
      </c>
      <c r="G113" s="113">
        <v>8</v>
      </c>
      <c r="H113" s="114"/>
      <c r="I113" s="114">
        <f t="shared" si="0"/>
        <v>0</v>
      </c>
    </row>
    <row r="114" spans="1:9" ht="12.75">
      <c r="A114" s="110">
        <v>57</v>
      </c>
      <c r="B114" s="110" t="s">
        <v>489</v>
      </c>
      <c r="C114" s="110" t="s">
        <v>493</v>
      </c>
      <c r="D114" s="111" t="s">
        <v>196</v>
      </c>
      <c r="E114" s="112" t="s">
        <v>520</v>
      </c>
      <c r="F114" s="110" t="s">
        <v>72</v>
      </c>
      <c r="G114" s="113">
        <v>8.08</v>
      </c>
      <c r="H114" s="114"/>
      <c r="I114" s="114">
        <f t="shared" si="0"/>
        <v>0</v>
      </c>
    </row>
    <row r="115" spans="1:9" ht="12.75">
      <c r="A115" s="110">
        <v>58</v>
      </c>
      <c r="B115" s="110" t="s">
        <v>489</v>
      </c>
      <c r="C115" s="110" t="s">
        <v>493</v>
      </c>
      <c r="D115" s="111" t="s">
        <v>197</v>
      </c>
      <c r="E115" s="112" t="s">
        <v>198</v>
      </c>
      <c r="F115" s="110" t="s">
        <v>72</v>
      </c>
      <c r="G115" s="113">
        <v>8.08</v>
      </c>
      <c r="H115" s="114"/>
      <c r="I115" s="114">
        <f t="shared" si="0"/>
        <v>0</v>
      </c>
    </row>
    <row r="116" spans="1:9" ht="12.75">
      <c r="A116" s="110">
        <v>59</v>
      </c>
      <c r="B116" s="110" t="s">
        <v>489</v>
      </c>
      <c r="C116" s="110" t="s">
        <v>493</v>
      </c>
      <c r="D116" s="111" t="s">
        <v>199</v>
      </c>
      <c r="E116" s="112" t="s">
        <v>200</v>
      </c>
      <c r="F116" s="110" t="s">
        <v>72</v>
      </c>
      <c r="G116" s="113">
        <v>1</v>
      </c>
      <c r="H116" s="114"/>
      <c r="I116" s="114">
        <f t="shared" si="0"/>
        <v>0</v>
      </c>
    </row>
    <row r="117" spans="1:9" ht="12.75">
      <c r="A117" s="110">
        <v>60</v>
      </c>
      <c r="B117" s="110" t="s">
        <v>489</v>
      </c>
      <c r="C117" s="110" t="s">
        <v>175</v>
      </c>
      <c r="D117" s="111" t="s">
        <v>201</v>
      </c>
      <c r="E117" s="112" t="s">
        <v>202</v>
      </c>
      <c r="F117" s="110" t="s">
        <v>75</v>
      </c>
      <c r="G117" s="113">
        <v>256.9</v>
      </c>
      <c r="H117" s="114"/>
      <c r="I117" s="114">
        <f t="shared" si="0"/>
        <v>0</v>
      </c>
    </row>
    <row r="118" spans="1:9" ht="12.75">
      <c r="A118" s="110">
        <v>61</v>
      </c>
      <c r="B118" s="110" t="s">
        <v>489</v>
      </c>
      <c r="C118" s="110" t="s">
        <v>493</v>
      </c>
      <c r="D118" s="111" t="s">
        <v>203</v>
      </c>
      <c r="E118" s="112" t="s">
        <v>204</v>
      </c>
      <c r="F118" s="110" t="s">
        <v>72</v>
      </c>
      <c r="G118" s="113">
        <v>1</v>
      </c>
      <c r="H118" s="114"/>
      <c r="I118" s="114">
        <f t="shared" si="0"/>
        <v>0</v>
      </c>
    </row>
    <row r="119" spans="1:9" ht="12.75">
      <c r="A119" s="110">
        <v>62</v>
      </c>
      <c r="B119" s="110" t="s">
        <v>489</v>
      </c>
      <c r="C119" s="110" t="s">
        <v>493</v>
      </c>
      <c r="D119" s="111" t="s">
        <v>205</v>
      </c>
      <c r="E119" s="112" t="s">
        <v>206</v>
      </c>
      <c r="F119" s="110" t="s">
        <v>72</v>
      </c>
      <c r="G119" s="113">
        <v>3</v>
      </c>
      <c r="H119" s="114"/>
      <c r="I119" s="114">
        <f t="shared" si="0"/>
        <v>0</v>
      </c>
    </row>
    <row r="120" spans="1:9" ht="12.75">
      <c r="A120" s="110">
        <v>63</v>
      </c>
      <c r="B120" s="110" t="s">
        <v>489</v>
      </c>
      <c r="C120" s="110" t="s">
        <v>493</v>
      </c>
      <c r="D120" s="111" t="s">
        <v>207</v>
      </c>
      <c r="E120" s="112" t="s">
        <v>656</v>
      </c>
      <c r="F120" s="110" t="s">
        <v>72</v>
      </c>
      <c r="G120" s="113">
        <v>7</v>
      </c>
      <c r="H120" s="114"/>
      <c r="I120" s="114">
        <f t="shared" si="0"/>
        <v>0</v>
      </c>
    </row>
    <row r="121" spans="1:9" ht="12.75">
      <c r="A121" s="111"/>
      <c r="B121" s="111"/>
      <c r="C121" s="111"/>
      <c r="D121" s="117"/>
      <c r="E121" s="117" t="s">
        <v>556</v>
      </c>
      <c r="F121" s="111"/>
      <c r="G121" s="118"/>
      <c r="H121" s="111"/>
      <c r="I121" s="111"/>
    </row>
    <row r="122" spans="1:9" ht="12.75">
      <c r="A122" s="111"/>
      <c r="B122" s="111"/>
      <c r="C122" s="111"/>
      <c r="D122" s="115"/>
      <c r="E122" s="115" t="s">
        <v>85</v>
      </c>
      <c r="F122" s="111"/>
      <c r="G122" s="116">
        <v>3</v>
      </c>
      <c r="H122" s="111"/>
      <c r="I122" s="111"/>
    </row>
    <row r="123" spans="1:9" ht="12.75">
      <c r="A123" s="111"/>
      <c r="B123" s="111"/>
      <c r="C123" s="111"/>
      <c r="D123" s="117"/>
      <c r="E123" s="117" t="s">
        <v>557</v>
      </c>
      <c r="F123" s="111"/>
      <c r="G123" s="119"/>
      <c r="H123" s="111"/>
      <c r="I123" s="111"/>
    </row>
    <row r="124" spans="1:9" ht="12.75">
      <c r="A124" s="111"/>
      <c r="B124" s="111"/>
      <c r="C124" s="111"/>
      <c r="D124" s="115"/>
      <c r="E124" s="115" t="s">
        <v>86</v>
      </c>
      <c r="F124" s="111"/>
      <c r="G124" s="116">
        <v>4</v>
      </c>
      <c r="H124" s="111"/>
      <c r="I124" s="111"/>
    </row>
    <row r="125" spans="1:9" ht="12.75">
      <c r="A125" s="106"/>
      <c r="B125" s="107" t="s">
        <v>488</v>
      </c>
      <c r="C125" s="106"/>
      <c r="D125" s="108" t="s">
        <v>36</v>
      </c>
      <c r="E125" s="108" t="s">
        <v>209</v>
      </c>
      <c r="F125" s="106"/>
      <c r="G125" s="106"/>
      <c r="H125" s="106"/>
      <c r="I125" s="109">
        <f>I126</f>
        <v>0</v>
      </c>
    </row>
    <row r="126" spans="1:9" ht="22.5">
      <c r="A126" s="110">
        <v>64</v>
      </c>
      <c r="B126" s="110" t="s">
        <v>489</v>
      </c>
      <c r="C126" s="110" t="s">
        <v>175</v>
      </c>
      <c r="D126" s="111" t="s">
        <v>210</v>
      </c>
      <c r="E126" s="112" t="s">
        <v>211</v>
      </c>
      <c r="F126" s="110" t="s">
        <v>75</v>
      </c>
      <c r="G126" s="113">
        <v>256.9</v>
      </c>
      <c r="H126" s="114"/>
      <c r="I126" s="114">
        <f>ROUND(G126*H126,2)</f>
        <v>0</v>
      </c>
    </row>
    <row r="127" spans="1:9" ht="12.75">
      <c r="A127" s="106"/>
      <c r="B127" s="107" t="s">
        <v>488</v>
      </c>
      <c r="C127" s="106"/>
      <c r="D127" s="108" t="s">
        <v>86</v>
      </c>
      <c r="E127" s="108" t="s">
        <v>212</v>
      </c>
      <c r="F127" s="106"/>
      <c r="G127" s="106"/>
      <c r="H127" s="106"/>
      <c r="I127" s="109">
        <f>I128+SUM(I129:I136)</f>
        <v>0</v>
      </c>
    </row>
    <row r="128" spans="1:9" ht="12.75">
      <c r="A128" s="110">
        <v>65</v>
      </c>
      <c r="B128" s="110" t="s">
        <v>489</v>
      </c>
      <c r="C128" s="110" t="s">
        <v>213</v>
      </c>
      <c r="D128" s="111" t="s">
        <v>214</v>
      </c>
      <c r="E128" s="112" t="s">
        <v>215</v>
      </c>
      <c r="F128" s="110" t="s">
        <v>103</v>
      </c>
      <c r="G128" s="113">
        <v>7.296</v>
      </c>
      <c r="H128" s="114"/>
      <c r="I128" s="114">
        <f>ROUND(G128*H128,2)</f>
        <v>0</v>
      </c>
    </row>
    <row r="129" spans="1:9" ht="12.75">
      <c r="A129" s="111"/>
      <c r="B129" s="111"/>
      <c r="C129" s="111"/>
      <c r="D129" s="117"/>
      <c r="E129" s="117" t="s">
        <v>540</v>
      </c>
      <c r="F129" s="111"/>
      <c r="G129" s="118"/>
      <c r="H129" s="111"/>
      <c r="I129" s="111"/>
    </row>
    <row r="130" spans="1:9" ht="12.75">
      <c r="A130" s="111"/>
      <c r="B130" s="111"/>
      <c r="C130" s="111"/>
      <c r="D130" s="115"/>
      <c r="E130" s="115" t="s">
        <v>216</v>
      </c>
      <c r="F130" s="111"/>
      <c r="G130" s="116">
        <v>3.2</v>
      </c>
      <c r="H130" s="111"/>
      <c r="I130" s="111"/>
    </row>
    <row r="131" spans="1:9" ht="12.75">
      <c r="A131" s="111"/>
      <c r="B131" s="111"/>
      <c r="C131" s="111"/>
      <c r="D131" s="117"/>
      <c r="E131" s="117" t="s">
        <v>541</v>
      </c>
      <c r="F131" s="111"/>
      <c r="G131" s="119"/>
      <c r="H131" s="111"/>
      <c r="I131" s="111"/>
    </row>
    <row r="132" spans="1:9" ht="12.75">
      <c r="A132" s="111"/>
      <c r="B132" s="111"/>
      <c r="C132" s="111"/>
      <c r="D132" s="115"/>
      <c r="E132" s="115" t="s">
        <v>217</v>
      </c>
      <c r="F132" s="111"/>
      <c r="G132" s="116">
        <v>4.096</v>
      </c>
      <c r="H132" s="111"/>
      <c r="I132" s="111"/>
    </row>
    <row r="133" spans="1:9" ht="12.75">
      <c r="A133" s="110">
        <v>66</v>
      </c>
      <c r="B133" s="110" t="s">
        <v>489</v>
      </c>
      <c r="C133" s="110" t="s">
        <v>175</v>
      </c>
      <c r="D133" s="111" t="s">
        <v>218</v>
      </c>
      <c r="E133" s="112" t="s">
        <v>291</v>
      </c>
      <c r="F133" s="110" t="s">
        <v>103</v>
      </c>
      <c r="G133" s="113">
        <v>2.408</v>
      </c>
      <c r="H133" s="114"/>
      <c r="I133" s="114">
        <f>ROUND(G133*H133,2)</f>
        <v>0</v>
      </c>
    </row>
    <row r="134" spans="1:9" ht="12.75">
      <c r="A134" s="111"/>
      <c r="B134" s="111"/>
      <c r="C134" s="111"/>
      <c r="D134" s="115"/>
      <c r="E134" s="115" t="s">
        <v>219</v>
      </c>
      <c r="F134" s="111"/>
      <c r="G134" s="116">
        <v>1.256</v>
      </c>
      <c r="H134" s="111"/>
      <c r="I134" s="111"/>
    </row>
    <row r="135" spans="1:9" ht="12.75">
      <c r="A135" s="111"/>
      <c r="B135" s="111"/>
      <c r="C135" s="111"/>
      <c r="D135" s="115"/>
      <c r="E135" s="115" t="s">
        <v>220</v>
      </c>
      <c r="F135" s="111"/>
      <c r="G135" s="116">
        <v>1.152</v>
      </c>
      <c r="H135" s="111"/>
      <c r="I135" s="111"/>
    </row>
    <row r="136" spans="1:9" ht="12.75">
      <c r="A136" s="106"/>
      <c r="B136" s="125" t="s">
        <v>488</v>
      </c>
      <c r="C136" s="106"/>
      <c r="D136" s="126" t="s">
        <v>85</v>
      </c>
      <c r="E136" s="126" t="s">
        <v>225</v>
      </c>
      <c r="F136" s="106"/>
      <c r="G136" s="106"/>
      <c r="H136" s="106"/>
      <c r="I136" s="127">
        <f>SUM(I137:I155)</f>
        <v>0</v>
      </c>
    </row>
    <row r="137" spans="1:9" ht="12.75">
      <c r="A137" s="110">
        <v>67</v>
      </c>
      <c r="B137" s="110" t="s">
        <v>489</v>
      </c>
      <c r="C137" s="110" t="s">
        <v>493</v>
      </c>
      <c r="D137" s="111" t="s">
        <v>226</v>
      </c>
      <c r="E137" s="112" t="s">
        <v>227</v>
      </c>
      <c r="F137" s="110" t="s">
        <v>72</v>
      </c>
      <c r="G137" s="113">
        <v>1</v>
      </c>
      <c r="H137" s="114"/>
      <c r="I137" s="114">
        <f aca="true" t="shared" si="1" ref="I137:I143">ROUND(G137*H137,2)</f>
        <v>0</v>
      </c>
    </row>
    <row r="138" spans="1:9" ht="12.75">
      <c r="A138" s="110">
        <v>68</v>
      </c>
      <c r="B138" s="110" t="s">
        <v>489</v>
      </c>
      <c r="C138" s="110" t="s">
        <v>493</v>
      </c>
      <c r="D138" s="111" t="s">
        <v>228</v>
      </c>
      <c r="E138" s="112" t="s">
        <v>229</v>
      </c>
      <c r="F138" s="110" t="s">
        <v>72</v>
      </c>
      <c r="G138" s="113">
        <v>2</v>
      </c>
      <c r="H138" s="114"/>
      <c r="I138" s="114">
        <f t="shared" si="1"/>
        <v>0</v>
      </c>
    </row>
    <row r="139" spans="1:9" ht="12.75">
      <c r="A139" s="110">
        <v>69</v>
      </c>
      <c r="B139" s="110" t="s">
        <v>489</v>
      </c>
      <c r="C139" s="110" t="s">
        <v>493</v>
      </c>
      <c r="D139" s="111" t="s">
        <v>230</v>
      </c>
      <c r="E139" s="112" t="s">
        <v>231</v>
      </c>
      <c r="F139" s="110" t="s">
        <v>72</v>
      </c>
      <c r="G139" s="113">
        <v>1</v>
      </c>
      <c r="H139" s="114"/>
      <c r="I139" s="114">
        <f t="shared" si="1"/>
        <v>0</v>
      </c>
    </row>
    <row r="140" spans="1:9" ht="12.75">
      <c r="A140" s="120">
        <v>70</v>
      </c>
      <c r="B140" s="120" t="s">
        <v>508</v>
      </c>
      <c r="C140" s="120" t="s">
        <v>509</v>
      </c>
      <c r="D140" s="121" t="s">
        <v>232</v>
      </c>
      <c r="E140" s="122" t="s">
        <v>233</v>
      </c>
      <c r="F140" s="120" t="s">
        <v>72</v>
      </c>
      <c r="G140" s="123">
        <v>1</v>
      </c>
      <c r="H140" s="124"/>
      <c r="I140" s="124">
        <f t="shared" si="1"/>
        <v>0</v>
      </c>
    </row>
    <row r="141" spans="1:9" ht="12.75">
      <c r="A141" s="120">
        <v>71</v>
      </c>
      <c r="B141" s="120" t="s">
        <v>508</v>
      </c>
      <c r="C141" s="120" t="s">
        <v>509</v>
      </c>
      <c r="D141" s="121" t="s">
        <v>234</v>
      </c>
      <c r="E141" s="122" t="s">
        <v>235</v>
      </c>
      <c r="F141" s="120" t="s">
        <v>72</v>
      </c>
      <c r="G141" s="123">
        <v>2</v>
      </c>
      <c r="H141" s="124"/>
      <c r="I141" s="124">
        <f t="shared" si="1"/>
        <v>0</v>
      </c>
    </row>
    <row r="142" spans="1:9" ht="12.75">
      <c r="A142" s="120">
        <v>72</v>
      </c>
      <c r="B142" s="120" t="s">
        <v>508</v>
      </c>
      <c r="C142" s="120" t="s">
        <v>509</v>
      </c>
      <c r="D142" s="121" t="s">
        <v>236</v>
      </c>
      <c r="E142" s="122" t="s">
        <v>552</v>
      </c>
      <c r="F142" s="120" t="s">
        <v>72</v>
      </c>
      <c r="G142" s="123">
        <v>1</v>
      </c>
      <c r="H142" s="124"/>
      <c r="I142" s="124">
        <f t="shared" si="1"/>
        <v>0</v>
      </c>
    </row>
    <row r="143" spans="1:9" ht="12.75">
      <c r="A143" s="120">
        <v>73</v>
      </c>
      <c r="B143" s="120" t="s">
        <v>508</v>
      </c>
      <c r="C143" s="120" t="s">
        <v>509</v>
      </c>
      <c r="D143" s="121" t="s">
        <v>237</v>
      </c>
      <c r="E143" s="122" t="s">
        <v>238</v>
      </c>
      <c r="F143" s="120" t="s">
        <v>72</v>
      </c>
      <c r="G143" s="123">
        <v>3</v>
      </c>
      <c r="H143" s="124"/>
      <c r="I143" s="124">
        <f t="shared" si="1"/>
        <v>0</v>
      </c>
    </row>
    <row r="144" spans="1:9" ht="12.75">
      <c r="A144" s="110">
        <v>74</v>
      </c>
      <c r="B144" s="110" t="s">
        <v>489</v>
      </c>
      <c r="C144" s="110" t="s">
        <v>239</v>
      </c>
      <c r="D144" s="111" t="s">
        <v>240</v>
      </c>
      <c r="E144" s="112" t="s">
        <v>241</v>
      </c>
      <c r="F144" s="110" t="s">
        <v>103</v>
      </c>
      <c r="G144" s="113">
        <v>23.198</v>
      </c>
      <c r="H144" s="114"/>
      <c r="I144" s="114">
        <f>ROUND(G144*H144,2)</f>
        <v>0</v>
      </c>
    </row>
    <row r="145" spans="1:9" ht="12.75">
      <c r="A145" s="111"/>
      <c r="B145" s="111"/>
      <c r="C145" s="111"/>
      <c r="D145" s="115"/>
      <c r="E145" s="115" t="s">
        <v>242</v>
      </c>
      <c r="F145" s="111"/>
      <c r="G145" s="116">
        <v>23.198</v>
      </c>
      <c r="H145" s="111"/>
      <c r="I145" s="111"/>
    </row>
    <row r="146" spans="1:9" ht="12.75">
      <c r="A146" s="110">
        <v>75</v>
      </c>
      <c r="B146" s="110" t="s">
        <v>489</v>
      </c>
      <c r="C146" s="110" t="s">
        <v>239</v>
      </c>
      <c r="D146" s="111" t="s">
        <v>243</v>
      </c>
      <c r="E146" s="112" t="s">
        <v>244</v>
      </c>
      <c r="F146" s="110" t="s">
        <v>103</v>
      </c>
      <c r="G146" s="113">
        <v>23.198</v>
      </c>
      <c r="H146" s="114"/>
      <c r="I146" s="114">
        <f>ROUND(G146*H146,2)</f>
        <v>0</v>
      </c>
    </row>
    <row r="147" spans="1:9" ht="12.75">
      <c r="A147" s="111"/>
      <c r="B147" s="111"/>
      <c r="C147" s="111"/>
      <c r="D147" s="115"/>
      <c r="E147" s="115" t="s">
        <v>245</v>
      </c>
      <c r="F147" s="111"/>
      <c r="G147" s="116">
        <v>23.198</v>
      </c>
      <c r="H147" s="111"/>
      <c r="I147" s="111"/>
    </row>
    <row r="148" spans="1:9" ht="12.75">
      <c r="A148" s="110">
        <v>76</v>
      </c>
      <c r="B148" s="110" t="s">
        <v>489</v>
      </c>
      <c r="C148" s="110" t="s">
        <v>239</v>
      </c>
      <c r="D148" s="111" t="s">
        <v>246</v>
      </c>
      <c r="E148" s="112" t="s">
        <v>247</v>
      </c>
      <c r="F148" s="110" t="s">
        <v>129</v>
      </c>
      <c r="G148" s="113">
        <v>9.406</v>
      </c>
      <c r="H148" s="114"/>
      <c r="I148" s="114">
        <f>ROUND(G148*H148,2)</f>
        <v>0</v>
      </c>
    </row>
    <row r="149" spans="1:9" ht="12.75">
      <c r="A149" s="111"/>
      <c r="B149" s="111"/>
      <c r="C149" s="111"/>
      <c r="D149" s="115"/>
      <c r="E149" s="115" t="s">
        <v>248</v>
      </c>
      <c r="F149" s="111"/>
      <c r="G149" s="116">
        <v>4.90625</v>
      </c>
      <c r="H149" s="111"/>
      <c r="I149" s="111"/>
    </row>
    <row r="150" spans="1:9" ht="12.75">
      <c r="A150" s="111"/>
      <c r="B150" s="111"/>
      <c r="C150" s="111"/>
      <c r="D150" s="115"/>
      <c r="E150" s="115" t="s">
        <v>249</v>
      </c>
      <c r="F150" s="111"/>
      <c r="G150" s="116">
        <v>4.5</v>
      </c>
      <c r="H150" s="111"/>
      <c r="I150" s="111"/>
    </row>
    <row r="151" spans="1:9" ht="22.5">
      <c r="A151" s="110">
        <v>77</v>
      </c>
      <c r="B151" s="110" t="s">
        <v>489</v>
      </c>
      <c r="C151" s="110" t="s">
        <v>239</v>
      </c>
      <c r="D151" s="111" t="s">
        <v>250</v>
      </c>
      <c r="E151" s="112" t="s">
        <v>251</v>
      </c>
      <c r="F151" s="110" t="s">
        <v>129</v>
      </c>
      <c r="G151" s="113">
        <v>4.906</v>
      </c>
      <c r="H151" s="114"/>
      <c r="I151" s="114">
        <f>ROUND(G151*H151,2)</f>
        <v>0</v>
      </c>
    </row>
    <row r="152" spans="1:9" ht="12.75">
      <c r="A152" s="111"/>
      <c r="B152" s="111"/>
      <c r="C152" s="111"/>
      <c r="D152" s="115"/>
      <c r="E152" s="115" t="s">
        <v>248</v>
      </c>
      <c r="F152" s="111"/>
      <c r="G152" s="116">
        <v>4.90625</v>
      </c>
      <c r="H152" s="111"/>
      <c r="I152" s="111"/>
    </row>
    <row r="153" spans="1:9" ht="12.75">
      <c r="A153" s="110">
        <v>78</v>
      </c>
      <c r="B153" s="110" t="s">
        <v>489</v>
      </c>
      <c r="C153" s="110" t="s">
        <v>239</v>
      </c>
      <c r="D153" s="111" t="s">
        <v>252</v>
      </c>
      <c r="E153" s="112" t="s">
        <v>253</v>
      </c>
      <c r="F153" s="110" t="s">
        <v>72</v>
      </c>
      <c r="G153" s="113">
        <v>4</v>
      </c>
      <c r="H153" s="114"/>
      <c r="I153" s="114">
        <f>ROUND(G153*H153,2)</f>
        <v>0</v>
      </c>
    </row>
    <row r="154" spans="1:9" ht="12.75">
      <c r="A154" s="120">
        <v>79</v>
      </c>
      <c r="B154" s="120" t="s">
        <v>508</v>
      </c>
      <c r="C154" s="120" t="s">
        <v>509</v>
      </c>
      <c r="D154" s="121" t="s">
        <v>254</v>
      </c>
      <c r="E154" s="122" t="s">
        <v>255</v>
      </c>
      <c r="F154" s="120" t="s">
        <v>72</v>
      </c>
      <c r="G154" s="123">
        <v>2</v>
      </c>
      <c r="H154" s="124"/>
      <c r="I154" s="124">
        <f>ROUND(G154*H154,2)</f>
        <v>0</v>
      </c>
    </row>
    <row r="155" spans="1:9" ht="12.75">
      <c r="A155" s="120">
        <v>80</v>
      </c>
      <c r="B155" s="120" t="s">
        <v>508</v>
      </c>
      <c r="C155" s="120" t="s">
        <v>509</v>
      </c>
      <c r="D155" s="121" t="s">
        <v>256</v>
      </c>
      <c r="E155" s="122" t="s">
        <v>569</v>
      </c>
      <c r="F155" s="120" t="s">
        <v>72</v>
      </c>
      <c r="G155" s="123">
        <v>2</v>
      </c>
      <c r="H155" s="124"/>
      <c r="I155" s="124">
        <f>ROUND(G155*H155,2)</f>
        <v>0</v>
      </c>
    </row>
    <row r="156" spans="1:9" ht="12.75">
      <c r="A156" s="106"/>
      <c r="B156" s="107" t="s">
        <v>488</v>
      </c>
      <c r="C156" s="106"/>
      <c r="D156" s="108" t="s">
        <v>257</v>
      </c>
      <c r="E156" s="108" t="s">
        <v>258</v>
      </c>
      <c r="F156" s="106"/>
      <c r="G156" s="106"/>
      <c r="H156" s="106"/>
      <c r="I156" s="109">
        <f>I157</f>
        <v>0</v>
      </c>
    </row>
    <row r="157" spans="1:9" ht="12.75">
      <c r="A157" s="106"/>
      <c r="B157" s="125" t="s">
        <v>488</v>
      </c>
      <c r="C157" s="106"/>
      <c r="D157" s="126" t="s">
        <v>259</v>
      </c>
      <c r="E157" s="126" t="s">
        <v>260</v>
      </c>
      <c r="F157" s="106"/>
      <c r="G157" s="106"/>
      <c r="H157" s="106"/>
      <c r="I157" s="127">
        <f>SUM(I158:I161)</f>
        <v>0</v>
      </c>
    </row>
    <row r="158" spans="1:9" ht="12.75">
      <c r="A158" s="110">
        <v>81</v>
      </c>
      <c r="B158" s="110" t="s">
        <v>489</v>
      </c>
      <c r="C158" s="110" t="s">
        <v>92</v>
      </c>
      <c r="D158" s="111" t="s">
        <v>261</v>
      </c>
      <c r="E158" s="112" t="s">
        <v>262</v>
      </c>
      <c r="F158" s="110" t="s">
        <v>75</v>
      </c>
      <c r="G158" s="113">
        <v>2</v>
      </c>
      <c r="H158" s="114"/>
      <c r="I158" s="114">
        <f>ROUND(G158*H158,2)</f>
        <v>0</v>
      </c>
    </row>
    <row r="159" spans="1:9" ht="12.75">
      <c r="A159" s="110">
        <v>82</v>
      </c>
      <c r="B159" s="110" t="s">
        <v>489</v>
      </c>
      <c r="C159" s="110" t="s">
        <v>493</v>
      </c>
      <c r="D159" s="111" t="s">
        <v>265</v>
      </c>
      <c r="E159" s="112" t="s">
        <v>657</v>
      </c>
      <c r="F159" s="110" t="s">
        <v>72</v>
      </c>
      <c r="G159" s="113">
        <v>1</v>
      </c>
      <c r="H159" s="114"/>
      <c r="I159" s="114">
        <f>ROUND(G159*H159,2)</f>
        <v>0</v>
      </c>
    </row>
    <row r="160" spans="1:9" ht="12.75">
      <c r="A160" s="110">
        <v>83</v>
      </c>
      <c r="B160" s="110" t="s">
        <v>489</v>
      </c>
      <c r="C160" s="110" t="s">
        <v>493</v>
      </c>
      <c r="D160" s="111" t="s">
        <v>267</v>
      </c>
      <c r="E160" s="112" t="s">
        <v>268</v>
      </c>
      <c r="F160" s="110" t="s">
        <v>129</v>
      </c>
      <c r="G160" s="113">
        <v>3</v>
      </c>
      <c r="H160" s="114"/>
      <c r="I160" s="114">
        <f>ROUND(G160*H160,2)</f>
        <v>0</v>
      </c>
    </row>
    <row r="161" spans="1:9" ht="12.75">
      <c r="A161" s="110">
        <v>84</v>
      </c>
      <c r="B161" s="110" t="s">
        <v>489</v>
      </c>
      <c r="C161" s="110" t="s">
        <v>175</v>
      </c>
      <c r="D161" s="111" t="s">
        <v>269</v>
      </c>
      <c r="E161" s="112" t="s">
        <v>361</v>
      </c>
      <c r="F161" s="110" t="s">
        <v>157</v>
      </c>
      <c r="G161" s="113">
        <v>352.41</v>
      </c>
      <c r="H161" s="114"/>
      <c r="I161" s="114">
        <f>ROUND(G161*H161,2)</f>
        <v>0</v>
      </c>
    </row>
    <row r="162" spans="1:9" ht="12.75">
      <c r="A162" s="128"/>
      <c r="B162" s="128"/>
      <c r="C162" s="128"/>
      <c r="D162" s="128"/>
      <c r="E162" s="129" t="s">
        <v>270</v>
      </c>
      <c r="F162" s="128"/>
      <c r="G162" s="128"/>
      <c r="H162" s="128"/>
      <c r="I162" s="130">
        <f>I14</f>
        <v>0</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I217"/>
  <sheetViews>
    <sheetView zoomScalePageLayoutView="0" workbookViewId="0" topLeftCell="A1">
      <selection activeCell="A1" sqref="A1"/>
    </sheetView>
  </sheetViews>
  <sheetFormatPr defaultColWidth="9.00390625" defaultRowHeight="12.75"/>
  <cols>
    <col min="1" max="1" width="5.625" style="131" customWidth="1"/>
    <col min="2" max="2" width="4.375" style="131" customWidth="1"/>
    <col min="3" max="3" width="4.75390625" style="131" customWidth="1"/>
    <col min="4" max="4" width="12.75390625" style="131" customWidth="1"/>
    <col min="5" max="5" width="55.625" style="131" customWidth="1"/>
    <col min="6" max="6" width="4.75390625" style="131" customWidth="1"/>
    <col min="7" max="7" width="9.875" style="131" customWidth="1"/>
    <col min="8" max="8" width="9.75390625" style="131" customWidth="1"/>
    <col min="9" max="9" width="13.625" style="131" customWidth="1"/>
  </cols>
  <sheetData>
    <row r="1" spans="1:9" ht="18">
      <c r="A1" s="95" t="s">
        <v>478</v>
      </c>
      <c r="B1" s="96"/>
      <c r="C1" s="96"/>
      <c r="D1" s="96"/>
      <c r="E1" s="96"/>
      <c r="F1" s="96"/>
      <c r="G1" s="96"/>
      <c r="H1" s="96"/>
      <c r="I1" s="96"/>
    </row>
    <row r="2" spans="1:9" ht="12.75">
      <c r="A2" s="97" t="s">
        <v>479</v>
      </c>
      <c r="B2" s="98"/>
      <c r="C2" s="98" t="str">
        <f>'[12]Krycí list'!E5</f>
        <v>Kolešovice kanalizace</v>
      </c>
      <c r="D2" s="98"/>
      <c r="E2" s="98"/>
      <c r="F2" s="98"/>
      <c r="G2" s="98"/>
      <c r="H2" s="98"/>
      <c r="I2" s="98"/>
    </row>
    <row r="3" spans="1:9" ht="12.75">
      <c r="A3" s="97" t="s">
        <v>480</v>
      </c>
      <c r="B3" s="98"/>
      <c r="C3" s="98" t="str">
        <f>'[12]Krycí list'!E7</f>
        <v>ČSOV 3, výtlak V2</v>
      </c>
      <c r="D3" s="98"/>
      <c r="E3" s="98"/>
      <c r="F3" s="98"/>
      <c r="G3" s="98"/>
      <c r="H3" s="98"/>
      <c r="I3" s="98"/>
    </row>
    <row r="4" spans="1:9" ht="12.75">
      <c r="A4" s="97" t="s">
        <v>481</v>
      </c>
      <c r="B4" s="98"/>
      <c r="C4" s="98" t="str">
        <f>'[12]Krycí list'!E9</f>
        <v> </v>
      </c>
      <c r="D4" s="98"/>
      <c r="E4" s="98"/>
      <c r="F4" s="98"/>
      <c r="G4" s="98"/>
      <c r="H4" s="98"/>
      <c r="I4" s="98"/>
    </row>
    <row r="5" spans="1:9" ht="12.75">
      <c r="A5" s="98" t="s">
        <v>482</v>
      </c>
      <c r="B5" s="98"/>
      <c r="C5" s="98" t="str">
        <f>'[12]Krycí list'!P5</f>
        <v> </v>
      </c>
      <c r="D5" s="98"/>
      <c r="E5" s="98"/>
      <c r="F5" s="98"/>
      <c r="G5" s="98"/>
      <c r="H5" s="98"/>
      <c r="I5" s="98"/>
    </row>
    <row r="6" spans="1:9" ht="12.75">
      <c r="A6" s="98"/>
      <c r="B6" s="98"/>
      <c r="C6" s="98"/>
      <c r="D6" s="98"/>
      <c r="E6" s="98"/>
      <c r="F6" s="98"/>
      <c r="G6" s="98"/>
      <c r="H6" s="98"/>
      <c r="I6" s="98"/>
    </row>
    <row r="7" spans="1:9" ht="12.75">
      <c r="A7" s="98" t="s">
        <v>483</v>
      </c>
      <c r="B7" s="98"/>
      <c r="C7" s="98" t="str">
        <f>'[12]Krycí list'!E26</f>
        <v> </v>
      </c>
      <c r="D7" s="98"/>
      <c r="E7" s="98"/>
      <c r="F7" s="98"/>
      <c r="G7" s="98"/>
      <c r="H7" s="98"/>
      <c r="I7" s="98"/>
    </row>
    <row r="8" spans="1:9" ht="12.75">
      <c r="A8" s="98" t="s">
        <v>484</v>
      </c>
      <c r="B8" s="98"/>
      <c r="C8" s="98" t="str">
        <f>'[12]Krycí list'!E28</f>
        <v> </v>
      </c>
      <c r="D8" s="98"/>
      <c r="E8" s="98"/>
      <c r="F8" s="98"/>
      <c r="G8" s="98"/>
      <c r="H8" s="98"/>
      <c r="I8" s="98"/>
    </row>
    <row r="9" spans="1:9" ht="12.75">
      <c r="A9" s="98" t="s">
        <v>485</v>
      </c>
      <c r="B9" s="98"/>
      <c r="C9" s="98" t="s">
        <v>486</v>
      </c>
      <c r="D9" s="98"/>
      <c r="E9" s="98"/>
      <c r="F9" s="98"/>
      <c r="G9" s="98"/>
      <c r="H9" s="98"/>
      <c r="I9" s="98"/>
    </row>
    <row r="10" spans="1:9" ht="12.75">
      <c r="A10" s="96"/>
      <c r="B10" s="96"/>
      <c r="C10" s="96"/>
      <c r="D10" s="96"/>
      <c r="E10" s="96"/>
      <c r="F10" s="96"/>
      <c r="G10" s="96"/>
      <c r="H10" s="96"/>
      <c r="I10" s="96"/>
    </row>
    <row r="11" spans="1:9" ht="22.5">
      <c r="A11" s="99" t="s">
        <v>79</v>
      </c>
      <c r="B11" s="100" t="s">
        <v>487</v>
      </c>
      <c r="C11" s="100" t="s">
        <v>80</v>
      </c>
      <c r="D11" s="100" t="s">
        <v>81</v>
      </c>
      <c r="E11" s="100" t="s">
        <v>82</v>
      </c>
      <c r="F11" s="100" t="s">
        <v>2</v>
      </c>
      <c r="G11" s="100" t="s">
        <v>83</v>
      </c>
      <c r="H11" s="100" t="s">
        <v>84</v>
      </c>
      <c r="I11" s="100" t="s">
        <v>18</v>
      </c>
    </row>
    <row r="12" spans="1:9" ht="12.75">
      <c r="A12" s="101">
        <v>1</v>
      </c>
      <c r="B12" s="102">
        <v>2</v>
      </c>
      <c r="C12" s="102">
        <v>3</v>
      </c>
      <c r="D12" s="102">
        <v>4</v>
      </c>
      <c r="E12" s="102">
        <v>5</v>
      </c>
      <c r="F12" s="102">
        <v>6</v>
      </c>
      <c r="G12" s="102">
        <v>7</v>
      </c>
      <c r="H12" s="102">
        <v>8</v>
      </c>
      <c r="I12" s="102">
        <v>9</v>
      </c>
    </row>
    <row r="13" spans="1:9" ht="12.75">
      <c r="A13" s="96"/>
      <c r="B13" s="96"/>
      <c r="C13" s="96"/>
      <c r="D13" s="96"/>
      <c r="E13" s="96"/>
      <c r="F13" s="96"/>
      <c r="G13" s="96"/>
      <c r="H13" s="96"/>
      <c r="I13" s="96"/>
    </row>
    <row r="14" spans="1:9" ht="12.75">
      <c r="A14" s="103"/>
      <c r="B14" s="104" t="s">
        <v>488</v>
      </c>
      <c r="C14" s="103"/>
      <c r="D14" s="103" t="s">
        <v>14</v>
      </c>
      <c r="E14" s="103" t="s">
        <v>91</v>
      </c>
      <c r="F14" s="103"/>
      <c r="G14" s="103"/>
      <c r="H14" s="103"/>
      <c r="I14" s="105">
        <f>I15+I100+I102+I136+I209</f>
        <v>0</v>
      </c>
    </row>
    <row r="15" spans="1:9" ht="12.75">
      <c r="A15" s="106"/>
      <c r="B15" s="107" t="s">
        <v>488</v>
      </c>
      <c r="C15" s="106"/>
      <c r="D15" s="108" t="s">
        <v>24</v>
      </c>
      <c r="E15" s="108" t="s">
        <v>17</v>
      </c>
      <c r="F15" s="106"/>
      <c r="G15" s="106"/>
      <c r="H15" s="106"/>
      <c r="I15" s="109">
        <f>I16+SUM(I17:I79)</f>
        <v>0</v>
      </c>
    </row>
    <row r="16" spans="1:9" ht="12.75">
      <c r="A16" s="110" t="s">
        <v>24</v>
      </c>
      <c r="B16" s="110" t="s">
        <v>489</v>
      </c>
      <c r="C16" s="110" t="s">
        <v>92</v>
      </c>
      <c r="D16" s="111" t="s">
        <v>99</v>
      </c>
      <c r="E16" s="112" t="s">
        <v>100</v>
      </c>
      <c r="F16" s="110" t="s">
        <v>75</v>
      </c>
      <c r="G16" s="113">
        <v>15</v>
      </c>
      <c r="H16" s="114"/>
      <c r="I16" s="114">
        <f>ROUND(G16*H16,2)</f>
        <v>0</v>
      </c>
    </row>
    <row r="17" spans="1:9" ht="12.75">
      <c r="A17" s="110" t="s">
        <v>36</v>
      </c>
      <c r="B17" s="110" t="s">
        <v>489</v>
      </c>
      <c r="C17" s="110" t="s">
        <v>92</v>
      </c>
      <c r="D17" s="111" t="s">
        <v>93</v>
      </c>
      <c r="E17" s="112" t="s">
        <v>94</v>
      </c>
      <c r="F17" s="110" t="s">
        <v>95</v>
      </c>
      <c r="G17" s="113">
        <v>100</v>
      </c>
      <c r="H17" s="114"/>
      <c r="I17" s="114">
        <f>ROUND(G17*H17,2)</f>
        <v>0</v>
      </c>
    </row>
    <row r="18" spans="1:9" ht="12.75">
      <c r="A18" s="110" t="s">
        <v>85</v>
      </c>
      <c r="B18" s="110" t="s">
        <v>489</v>
      </c>
      <c r="C18" s="110" t="s">
        <v>92</v>
      </c>
      <c r="D18" s="111" t="s">
        <v>96</v>
      </c>
      <c r="E18" s="112" t="s">
        <v>97</v>
      </c>
      <c r="F18" s="110" t="s">
        <v>98</v>
      </c>
      <c r="G18" s="113">
        <v>5</v>
      </c>
      <c r="H18" s="114"/>
      <c r="I18" s="114">
        <f>ROUND(G18*H18,2)</f>
        <v>0</v>
      </c>
    </row>
    <row r="19" spans="1:9" ht="12.75">
      <c r="A19" s="110" t="s">
        <v>86</v>
      </c>
      <c r="B19" s="110" t="s">
        <v>489</v>
      </c>
      <c r="C19" s="110" t="s">
        <v>92</v>
      </c>
      <c r="D19" s="111" t="s">
        <v>101</v>
      </c>
      <c r="E19" s="112" t="s">
        <v>102</v>
      </c>
      <c r="F19" s="110" t="s">
        <v>103</v>
      </c>
      <c r="G19" s="113">
        <v>25.92</v>
      </c>
      <c r="H19" s="114"/>
      <c r="I19" s="114">
        <f>ROUND(G19*H19,2)</f>
        <v>0</v>
      </c>
    </row>
    <row r="20" spans="1:9" ht="12.75">
      <c r="A20" s="111"/>
      <c r="B20" s="111"/>
      <c r="C20" s="111"/>
      <c r="D20" s="115"/>
      <c r="E20" s="115" t="s">
        <v>271</v>
      </c>
      <c r="F20" s="111"/>
      <c r="G20" s="116">
        <v>25.92</v>
      </c>
      <c r="H20" s="111"/>
      <c r="I20" s="111"/>
    </row>
    <row r="21" spans="1:9" ht="12.75">
      <c r="A21" s="110" t="s">
        <v>87</v>
      </c>
      <c r="B21" s="110" t="s">
        <v>489</v>
      </c>
      <c r="C21" s="110" t="s">
        <v>92</v>
      </c>
      <c r="D21" s="111" t="s">
        <v>106</v>
      </c>
      <c r="E21" s="112" t="s">
        <v>272</v>
      </c>
      <c r="F21" s="110" t="s">
        <v>103</v>
      </c>
      <c r="G21" s="113">
        <f>G23+G25</f>
        <v>91.93</v>
      </c>
      <c r="H21" s="114"/>
      <c r="I21" s="114">
        <f>ROUND(G21*H21,2)</f>
        <v>0</v>
      </c>
    </row>
    <row r="22" spans="1:9" ht="12.75">
      <c r="A22" s="111"/>
      <c r="B22" s="111"/>
      <c r="C22" s="111"/>
      <c r="D22" s="117"/>
      <c r="E22" s="117" t="s">
        <v>490</v>
      </c>
      <c r="F22" s="111"/>
      <c r="G22" s="118"/>
      <c r="H22" s="111"/>
      <c r="I22" s="111"/>
    </row>
    <row r="23" spans="1:9" ht="12.75">
      <c r="A23" s="111"/>
      <c r="B23" s="111"/>
      <c r="C23" s="111"/>
      <c r="D23" s="115"/>
      <c r="E23" s="115" t="s">
        <v>658</v>
      </c>
      <c r="F23" s="111"/>
      <c r="G23" s="116">
        <f>4*4*4.11*0.8</f>
        <v>52.608</v>
      </c>
      <c r="H23" s="111"/>
      <c r="I23" s="111"/>
    </row>
    <row r="24" spans="1:9" ht="12.75">
      <c r="A24" s="111"/>
      <c r="B24" s="111"/>
      <c r="C24" s="111"/>
      <c r="D24" s="117"/>
      <c r="E24" s="117" t="s">
        <v>491</v>
      </c>
      <c r="F24" s="111"/>
      <c r="G24" s="119"/>
      <c r="H24" s="111"/>
      <c r="I24" s="111"/>
    </row>
    <row r="25" spans="1:9" ht="12.75">
      <c r="A25" s="111"/>
      <c r="B25" s="111"/>
      <c r="C25" s="111"/>
      <c r="D25" s="115"/>
      <c r="E25" s="115" t="s">
        <v>641</v>
      </c>
      <c r="F25" s="111"/>
      <c r="G25" s="116">
        <f>3.2*3.2*2.4*2*0.8</f>
        <v>39.322</v>
      </c>
      <c r="H25" s="111"/>
      <c r="I25" s="111"/>
    </row>
    <row r="26" spans="1:9" ht="12.75">
      <c r="A26" s="110" t="s">
        <v>88</v>
      </c>
      <c r="B26" s="110" t="s">
        <v>489</v>
      </c>
      <c r="C26" s="110" t="s">
        <v>92</v>
      </c>
      <c r="D26" s="111" t="s">
        <v>107</v>
      </c>
      <c r="E26" s="112" t="s">
        <v>108</v>
      </c>
      <c r="F26" s="110" t="s">
        <v>103</v>
      </c>
      <c r="G26" s="113">
        <f>G27</f>
        <v>27.579</v>
      </c>
      <c r="H26" s="114"/>
      <c r="I26" s="114">
        <f>ROUND(G26*H26,2)</f>
        <v>0</v>
      </c>
    </row>
    <row r="27" spans="1:9" ht="12.75">
      <c r="A27" s="111"/>
      <c r="B27" s="111"/>
      <c r="C27" s="111"/>
      <c r="D27" s="115"/>
      <c r="E27" s="115" t="s">
        <v>660</v>
      </c>
      <c r="F27" s="111"/>
      <c r="G27" s="116">
        <f>G21*0.3</f>
        <v>27.579</v>
      </c>
      <c r="H27" s="111"/>
      <c r="I27" s="111"/>
    </row>
    <row r="28" spans="1:9" ht="12.75">
      <c r="A28" s="110" t="s">
        <v>89</v>
      </c>
      <c r="B28" s="110" t="s">
        <v>489</v>
      </c>
      <c r="C28" s="110" t="s">
        <v>92</v>
      </c>
      <c r="D28" s="111" t="s">
        <v>109</v>
      </c>
      <c r="E28" s="112" t="s">
        <v>110</v>
      </c>
      <c r="F28" s="110" t="s">
        <v>103</v>
      </c>
      <c r="G28" s="113">
        <f>G29</f>
        <v>22.983</v>
      </c>
      <c r="H28" s="114"/>
      <c r="I28" s="114">
        <f>ROUND(G28*H28,2)</f>
        <v>0</v>
      </c>
    </row>
    <row r="29" spans="1:9" ht="12.75">
      <c r="A29" s="111"/>
      <c r="B29" s="111"/>
      <c r="C29" s="111"/>
      <c r="D29" s="115"/>
      <c r="E29" s="115" t="s">
        <v>659</v>
      </c>
      <c r="F29" s="111"/>
      <c r="G29" s="116">
        <f>G21/4</f>
        <v>22.983</v>
      </c>
      <c r="H29" s="111"/>
      <c r="I29" s="111"/>
    </row>
    <row r="30" spans="1:9" ht="12.75">
      <c r="A30" s="110" t="s">
        <v>90</v>
      </c>
      <c r="B30" s="110" t="s">
        <v>489</v>
      </c>
      <c r="C30" s="110" t="s">
        <v>92</v>
      </c>
      <c r="D30" s="111" t="s">
        <v>111</v>
      </c>
      <c r="E30" s="112" t="s">
        <v>112</v>
      </c>
      <c r="F30" s="110" t="s">
        <v>103</v>
      </c>
      <c r="G30" s="113">
        <f>G31</f>
        <v>6.895</v>
      </c>
      <c r="H30" s="114"/>
      <c r="I30" s="114">
        <f>ROUND(G30*H30,2)</f>
        <v>0</v>
      </c>
    </row>
    <row r="31" spans="1:9" ht="12.75">
      <c r="A31" s="111"/>
      <c r="B31" s="111"/>
      <c r="C31" s="111"/>
      <c r="D31" s="115"/>
      <c r="E31" s="115" t="s">
        <v>273</v>
      </c>
      <c r="F31" s="111"/>
      <c r="G31" s="116">
        <f>G28*0.3</f>
        <v>6.895</v>
      </c>
      <c r="H31" s="111"/>
      <c r="I31" s="111"/>
    </row>
    <row r="32" spans="1:9" ht="12.75">
      <c r="A32" s="110" t="s">
        <v>257</v>
      </c>
      <c r="B32" s="110" t="s">
        <v>489</v>
      </c>
      <c r="C32" s="110" t="s">
        <v>92</v>
      </c>
      <c r="D32" s="111" t="s">
        <v>113</v>
      </c>
      <c r="E32" s="112" t="s">
        <v>114</v>
      </c>
      <c r="F32" s="110" t="s">
        <v>103</v>
      </c>
      <c r="G32" s="113">
        <f>G33+G34</f>
        <v>223.236</v>
      </c>
      <c r="H32" s="114"/>
      <c r="I32" s="114">
        <f>ROUND(G32*H32,2)</f>
        <v>0</v>
      </c>
    </row>
    <row r="33" spans="1:9" ht="12.75">
      <c r="A33" s="111"/>
      <c r="B33" s="111"/>
      <c r="C33" s="111"/>
      <c r="D33" s="115"/>
      <c r="E33" s="115" t="s">
        <v>661</v>
      </c>
      <c r="F33" s="111"/>
      <c r="G33" s="116">
        <f>145*0.9*(1.7-0.45)*0.8</f>
        <v>130.5</v>
      </c>
      <c r="H33" s="111"/>
      <c r="I33" s="111"/>
    </row>
    <row r="34" spans="1:9" ht="12.75">
      <c r="A34" s="111"/>
      <c r="B34" s="111"/>
      <c r="C34" s="111"/>
      <c r="D34" s="115"/>
      <c r="E34" s="115" t="s">
        <v>662</v>
      </c>
      <c r="F34" s="111"/>
      <c r="G34" s="116">
        <f>92*0.9*(1.7-0.3)*0.8</f>
        <v>92.736</v>
      </c>
      <c r="H34" s="111"/>
      <c r="I34" s="111"/>
    </row>
    <row r="35" spans="1:9" ht="12.75">
      <c r="A35" s="110" t="s">
        <v>492</v>
      </c>
      <c r="B35" s="110" t="s">
        <v>489</v>
      </c>
      <c r="C35" s="110" t="s">
        <v>493</v>
      </c>
      <c r="D35" s="111" t="s">
        <v>115</v>
      </c>
      <c r="E35" s="112" t="s">
        <v>116</v>
      </c>
      <c r="F35" s="110" t="s">
        <v>103</v>
      </c>
      <c r="G35" s="113">
        <f>G36</f>
        <v>66.971</v>
      </c>
      <c r="H35" s="114"/>
      <c r="I35" s="114">
        <f>ROUND(G35*H35,2)</f>
        <v>0</v>
      </c>
    </row>
    <row r="36" spans="1:9" ht="12.75">
      <c r="A36" s="111"/>
      <c r="B36" s="111"/>
      <c r="C36" s="111"/>
      <c r="D36" s="115"/>
      <c r="E36" s="115" t="s">
        <v>664</v>
      </c>
      <c r="F36" s="111"/>
      <c r="G36" s="116">
        <f>G32*0.3</f>
        <v>66.971</v>
      </c>
      <c r="H36" s="111"/>
      <c r="I36" s="111"/>
    </row>
    <row r="37" spans="1:9" ht="12.75">
      <c r="A37" s="110" t="s">
        <v>494</v>
      </c>
      <c r="B37" s="110" t="s">
        <v>489</v>
      </c>
      <c r="C37" s="110" t="s">
        <v>92</v>
      </c>
      <c r="D37" s="111" t="s">
        <v>117</v>
      </c>
      <c r="E37" s="112" t="s">
        <v>274</v>
      </c>
      <c r="F37" s="110" t="s">
        <v>103</v>
      </c>
      <c r="G37" s="113">
        <f>G38</f>
        <v>55.809</v>
      </c>
      <c r="H37" s="114"/>
      <c r="I37" s="114">
        <f>ROUND(G37*H37,2)</f>
        <v>0</v>
      </c>
    </row>
    <row r="38" spans="1:9" ht="12.75">
      <c r="A38" s="111"/>
      <c r="B38" s="111"/>
      <c r="C38" s="111"/>
      <c r="D38" s="115"/>
      <c r="E38" s="115" t="s">
        <v>663</v>
      </c>
      <c r="F38" s="111"/>
      <c r="G38" s="116">
        <f>G32/4</f>
        <v>55.809</v>
      </c>
      <c r="H38" s="111"/>
      <c r="I38" s="111"/>
    </row>
    <row r="39" spans="1:9" ht="12.75">
      <c r="A39" s="110" t="s">
        <v>254</v>
      </c>
      <c r="B39" s="110" t="s">
        <v>489</v>
      </c>
      <c r="C39" s="110" t="s">
        <v>92</v>
      </c>
      <c r="D39" s="111" t="s">
        <v>118</v>
      </c>
      <c r="E39" s="112" t="s">
        <v>119</v>
      </c>
      <c r="F39" s="110" t="s">
        <v>103</v>
      </c>
      <c r="G39" s="113">
        <f>G40</f>
        <v>16.743</v>
      </c>
      <c r="H39" s="114"/>
      <c r="I39" s="114">
        <f>ROUND(G39*H39,2)</f>
        <v>0</v>
      </c>
    </row>
    <row r="40" spans="1:9" ht="12.75">
      <c r="A40" s="111"/>
      <c r="B40" s="111"/>
      <c r="C40" s="111"/>
      <c r="D40" s="115"/>
      <c r="E40" s="115" t="s">
        <v>665</v>
      </c>
      <c r="F40" s="111"/>
      <c r="G40" s="116">
        <f>G37*0.3</f>
        <v>16.743</v>
      </c>
      <c r="H40" s="111"/>
      <c r="I40" s="111"/>
    </row>
    <row r="41" spans="1:9" ht="12.75">
      <c r="A41" s="110" t="s">
        <v>256</v>
      </c>
      <c r="B41" s="110" t="s">
        <v>489</v>
      </c>
      <c r="C41" s="110" t="s">
        <v>92</v>
      </c>
      <c r="D41" s="111" t="s">
        <v>127</v>
      </c>
      <c r="E41" s="112" t="s">
        <v>128</v>
      </c>
      <c r="F41" s="110" t="s">
        <v>129</v>
      </c>
      <c r="G41" s="113">
        <v>837.8</v>
      </c>
      <c r="H41" s="114"/>
      <c r="I41" s="114">
        <f>ROUND(G41*H41,2)</f>
        <v>0</v>
      </c>
    </row>
    <row r="42" spans="1:9" ht="12.75">
      <c r="A42" s="111"/>
      <c r="B42" s="111"/>
      <c r="C42" s="111"/>
      <c r="D42" s="115"/>
      <c r="E42" s="115" t="s">
        <v>275</v>
      </c>
      <c r="F42" s="111"/>
      <c r="G42" s="116">
        <v>805.8</v>
      </c>
      <c r="H42" s="111"/>
      <c r="I42" s="111"/>
    </row>
    <row r="43" spans="1:9" ht="12.75">
      <c r="A43" s="111"/>
      <c r="B43" s="111"/>
      <c r="C43" s="111"/>
      <c r="D43" s="115"/>
      <c r="E43" s="115" t="s">
        <v>131</v>
      </c>
      <c r="F43" s="111"/>
      <c r="G43" s="116">
        <v>32</v>
      </c>
      <c r="H43" s="111"/>
      <c r="I43" s="111"/>
    </row>
    <row r="44" spans="1:9" ht="12.75">
      <c r="A44" s="110" t="s">
        <v>495</v>
      </c>
      <c r="B44" s="110" t="s">
        <v>489</v>
      </c>
      <c r="C44" s="110" t="s">
        <v>92</v>
      </c>
      <c r="D44" s="111" t="s">
        <v>134</v>
      </c>
      <c r="E44" s="112" t="s">
        <v>135</v>
      </c>
      <c r="F44" s="110" t="s">
        <v>129</v>
      </c>
      <c r="G44" s="113">
        <f>G45</f>
        <v>32</v>
      </c>
      <c r="H44" s="114"/>
      <c r="I44" s="114">
        <f>ROUND(G44*H44,2)</f>
        <v>0</v>
      </c>
    </row>
    <row r="45" spans="1:9" ht="12.75">
      <c r="A45" s="111"/>
      <c r="B45" s="111"/>
      <c r="C45" s="111"/>
      <c r="D45" s="115"/>
      <c r="E45" s="115" t="s">
        <v>131</v>
      </c>
      <c r="F45" s="111"/>
      <c r="G45" s="116">
        <v>32</v>
      </c>
      <c r="H45" s="111"/>
      <c r="I45" s="111"/>
    </row>
    <row r="46" spans="1:9" ht="12.75">
      <c r="A46" s="110" t="s">
        <v>184</v>
      </c>
      <c r="B46" s="110" t="s">
        <v>489</v>
      </c>
      <c r="C46" s="110" t="s">
        <v>92</v>
      </c>
      <c r="D46" s="111" t="s">
        <v>132</v>
      </c>
      <c r="E46" s="112" t="s">
        <v>133</v>
      </c>
      <c r="F46" s="110" t="s">
        <v>129</v>
      </c>
      <c r="G46" s="113">
        <v>837.8</v>
      </c>
      <c r="H46" s="114"/>
      <c r="I46" s="114">
        <f>ROUND(G46*H46,2)</f>
        <v>0</v>
      </c>
    </row>
    <row r="47" spans="1:9" ht="12.75">
      <c r="A47" s="110" t="s">
        <v>496</v>
      </c>
      <c r="B47" s="110" t="s">
        <v>489</v>
      </c>
      <c r="C47" s="110" t="s">
        <v>92</v>
      </c>
      <c r="D47" s="111" t="s">
        <v>136</v>
      </c>
      <c r="E47" s="112" t="s">
        <v>137</v>
      </c>
      <c r="F47" s="110" t="s">
        <v>129</v>
      </c>
      <c r="G47" s="113">
        <v>32</v>
      </c>
      <c r="H47" s="114"/>
      <c r="I47" s="114">
        <f>ROUND(G47*H47,2)</f>
        <v>0</v>
      </c>
    </row>
    <row r="48" spans="1:9" ht="12.75">
      <c r="A48" s="110" t="s">
        <v>497</v>
      </c>
      <c r="B48" s="110" t="s">
        <v>489</v>
      </c>
      <c r="C48" s="110" t="s">
        <v>92</v>
      </c>
      <c r="D48" s="111" t="s">
        <v>120</v>
      </c>
      <c r="E48" s="112" t="s">
        <v>121</v>
      </c>
      <c r="F48" s="110" t="s">
        <v>103</v>
      </c>
      <c r="G48" s="113">
        <f>G49</f>
        <v>368.358</v>
      </c>
      <c r="H48" s="114"/>
      <c r="I48" s="114">
        <f>ROUND(G48*H48,2)</f>
        <v>0</v>
      </c>
    </row>
    <row r="49" spans="1:9" ht="12.75">
      <c r="A49" s="111"/>
      <c r="B49" s="111"/>
      <c r="C49" s="111"/>
      <c r="D49" s="115"/>
      <c r="E49" s="115" t="s">
        <v>276</v>
      </c>
      <c r="F49" s="111"/>
      <c r="G49" s="116">
        <v>368.358</v>
      </c>
      <c r="H49" s="111"/>
      <c r="I49" s="111"/>
    </row>
    <row r="50" spans="1:9" ht="12.75">
      <c r="A50" s="110" t="s">
        <v>498</v>
      </c>
      <c r="B50" s="110" t="s">
        <v>489</v>
      </c>
      <c r="C50" s="110" t="s">
        <v>92</v>
      </c>
      <c r="D50" s="111" t="s">
        <v>122</v>
      </c>
      <c r="E50" s="112" t="s">
        <v>123</v>
      </c>
      <c r="F50" s="110" t="s">
        <v>103</v>
      </c>
      <c r="G50" s="113">
        <f>G51</f>
        <v>25.6</v>
      </c>
      <c r="H50" s="114"/>
      <c r="I50" s="114">
        <f>ROUND(G50*H50,2)</f>
        <v>0</v>
      </c>
    </row>
    <row r="51" spans="1:9" ht="12.75">
      <c r="A51" s="111"/>
      <c r="B51" s="111"/>
      <c r="C51" s="111"/>
      <c r="D51" s="115"/>
      <c r="E51" s="115" t="s">
        <v>277</v>
      </c>
      <c r="F51" s="111"/>
      <c r="G51" s="116">
        <v>25.6</v>
      </c>
      <c r="H51" s="111"/>
      <c r="I51" s="111"/>
    </row>
    <row r="52" spans="1:9" ht="12.75">
      <c r="A52" s="110" t="s">
        <v>499</v>
      </c>
      <c r="B52" s="110" t="s">
        <v>489</v>
      </c>
      <c r="C52" s="110" t="s">
        <v>92</v>
      </c>
      <c r="D52" s="111" t="s">
        <v>144</v>
      </c>
      <c r="E52" s="112" t="s">
        <v>278</v>
      </c>
      <c r="F52" s="110" t="s">
        <v>103</v>
      </c>
      <c r="G52" s="113">
        <f>G53</f>
        <v>393.958</v>
      </c>
      <c r="H52" s="114"/>
      <c r="I52" s="114">
        <f>ROUND(G52*H52,2)</f>
        <v>0</v>
      </c>
    </row>
    <row r="53" spans="1:9" ht="12.75">
      <c r="A53" s="111"/>
      <c r="B53" s="111"/>
      <c r="C53" s="111"/>
      <c r="D53" s="115"/>
      <c r="E53" s="115" t="s">
        <v>279</v>
      </c>
      <c r="F53" s="111"/>
      <c r="G53" s="116">
        <v>393.958</v>
      </c>
      <c r="H53" s="111"/>
      <c r="I53" s="111"/>
    </row>
    <row r="54" spans="1:9" ht="12.75">
      <c r="A54" s="110" t="s">
        <v>500</v>
      </c>
      <c r="B54" s="110" t="s">
        <v>489</v>
      </c>
      <c r="C54" s="110" t="s">
        <v>92</v>
      </c>
      <c r="D54" s="111" t="s">
        <v>151</v>
      </c>
      <c r="E54" s="112" t="s">
        <v>152</v>
      </c>
      <c r="F54" s="110" t="s">
        <v>103</v>
      </c>
      <c r="G54" s="113">
        <f>G55</f>
        <v>393.958</v>
      </c>
      <c r="H54" s="114"/>
      <c r="I54" s="114">
        <f>ROUND(G54*H54,2)</f>
        <v>0</v>
      </c>
    </row>
    <row r="55" spans="1:9" ht="12.75">
      <c r="A55" s="111"/>
      <c r="B55" s="111"/>
      <c r="C55" s="111"/>
      <c r="D55" s="115"/>
      <c r="E55" s="115" t="s">
        <v>279</v>
      </c>
      <c r="F55" s="111"/>
      <c r="G55" s="116">
        <v>393.958</v>
      </c>
      <c r="H55" s="111"/>
      <c r="I55" s="111"/>
    </row>
    <row r="56" spans="1:9" ht="12.75">
      <c r="A56" s="110" t="s">
        <v>263</v>
      </c>
      <c r="B56" s="110" t="s">
        <v>489</v>
      </c>
      <c r="C56" s="110" t="s">
        <v>92</v>
      </c>
      <c r="D56" s="111" t="s">
        <v>146</v>
      </c>
      <c r="E56" s="112" t="s">
        <v>147</v>
      </c>
      <c r="F56" s="110" t="s">
        <v>103</v>
      </c>
      <c r="G56" s="113">
        <v>393.958</v>
      </c>
      <c r="H56" s="114"/>
      <c r="I56" s="114">
        <f>ROUND(G56*H56,2)</f>
        <v>0</v>
      </c>
    </row>
    <row r="57" spans="1:9" ht="22.5">
      <c r="A57" s="110" t="s">
        <v>264</v>
      </c>
      <c r="B57" s="110" t="s">
        <v>489</v>
      </c>
      <c r="C57" s="110" t="s">
        <v>92</v>
      </c>
      <c r="D57" s="111" t="s">
        <v>149</v>
      </c>
      <c r="E57" s="112" t="s">
        <v>150</v>
      </c>
      <c r="F57" s="110" t="s">
        <v>103</v>
      </c>
      <c r="G57" s="113">
        <f>G58</f>
        <v>3151.664</v>
      </c>
      <c r="H57" s="114"/>
      <c r="I57" s="114">
        <f>ROUND(G57*H57,2)</f>
        <v>0</v>
      </c>
    </row>
    <row r="58" spans="1:9" ht="12.75">
      <c r="A58" s="111"/>
      <c r="B58" s="111"/>
      <c r="C58" s="111"/>
      <c r="D58" s="115"/>
      <c r="E58" s="115" t="s">
        <v>670</v>
      </c>
      <c r="F58" s="111"/>
      <c r="G58" s="116">
        <f>393.958*8</f>
        <v>3151.664</v>
      </c>
      <c r="H58" s="111"/>
      <c r="I58" s="111"/>
    </row>
    <row r="59" spans="1:9" ht="12.75">
      <c r="A59" s="110" t="s">
        <v>501</v>
      </c>
      <c r="B59" s="110" t="s">
        <v>489</v>
      </c>
      <c r="C59" s="110" t="s">
        <v>92</v>
      </c>
      <c r="D59" s="111" t="s">
        <v>153</v>
      </c>
      <c r="E59" s="112" t="s">
        <v>154</v>
      </c>
      <c r="F59" s="110" t="s">
        <v>103</v>
      </c>
      <c r="G59" s="113">
        <f>G60</f>
        <v>393.958</v>
      </c>
      <c r="H59" s="114"/>
      <c r="I59" s="114">
        <f>ROUND(G59*H59,2)</f>
        <v>0</v>
      </c>
    </row>
    <row r="60" spans="1:9" ht="12.75">
      <c r="A60" s="111"/>
      <c r="B60" s="111"/>
      <c r="C60" s="111"/>
      <c r="D60" s="115"/>
      <c r="E60" s="115" t="s">
        <v>280</v>
      </c>
      <c r="F60" s="111"/>
      <c r="G60" s="116">
        <v>393.958</v>
      </c>
      <c r="H60" s="111"/>
      <c r="I60" s="111"/>
    </row>
    <row r="61" spans="1:9" ht="12.75">
      <c r="A61" s="110" t="s">
        <v>266</v>
      </c>
      <c r="B61" s="110" t="s">
        <v>489</v>
      </c>
      <c r="C61" s="110" t="s">
        <v>92</v>
      </c>
      <c r="D61" s="111" t="s">
        <v>155</v>
      </c>
      <c r="E61" s="112" t="s">
        <v>156</v>
      </c>
      <c r="F61" s="110" t="s">
        <v>157</v>
      </c>
      <c r="G61" s="113">
        <f>G62</f>
        <v>669.729</v>
      </c>
      <c r="H61" s="114"/>
      <c r="I61" s="114">
        <f>ROUND(G61*H61,2)</f>
        <v>0</v>
      </c>
    </row>
    <row r="62" spans="1:9" ht="12.75">
      <c r="A62" s="111"/>
      <c r="B62" s="111"/>
      <c r="C62" s="111"/>
      <c r="D62" s="115"/>
      <c r="E62" s="115" t="s">
        <v>281</v>
      </c>
      <c r="F62" s="111"/>
      <c r="G62" s="116">
        <v>669.729</v>
      </c>
      <c r="H62" s="111"/>
      <c r="I62" s="111"/>
    </row>
    <row r="63" spans="1:9" ht="12.75">
      <c r="A63" s="110" t="s">
        <v>502</v>
      </c>
      <c r="B63" s="110" t="s">
        <v>489</v>
      </c>
      <c r="C63" s="110" t="s">
        <v>92</v>
      </c>
      <c r="D63" s="111" t="s">
        <v>159</v>
      </c>
      <c r="E63" s="112" t="s">
        <v>160</v>
      </c>
      <c r="F63" s="110" t="s">
        <v>103</v>
      </c>
      <c r="G63" s="113">
        <f>G64+G66+G68</f>
        <v>181.311</v>
      </c>
      <c r="H63" s="114"/>
      <c r="I63" s="114">
        <f>ROUND(G63*H63,2)</f>
        <v>0</v>
      </c>
    </row>
    <row r="64" spans="1:9" ht="12.75">
      <c r="A64" s="111"/>
      <c r="B64" s="111"/>
      <c r="C64" s="111"/>
      <c r="D64" s="115"/>
      <c r="E64" s="115" t="s">
        <v>668</v>
      </c>
      <c r="F64" s="111"/>
      <c r="G64" s="116">
        <f>57.456*2+139.523*2-106.65-21.33-3.14*1.4*1.4*3.76-2*2*2*2</f>
        <v>226.837</v>
      </c>
      <c r="H64" s="111"/>
      <c r="I64" s="111"/>
    </row>
    <row r="65" spans="1:9" ht="12.75">
      <c r="A65" s="111"/>
      <c r="B65" s="111"/>
      <c r="C65" s="111"/>
      <c r="D65" s="117"/>
      <c r="E65" s="117" t="s">
        <v>503</v>
      </c>
      <c r="F65" s="111"/>
      <c r="G65" s="119"/>
      <c r="H65" s="111"/>
      <c r="I65" s="111"/>
    </row>
    <row r="66" spans="1:9" ht="12.75">
      <c r="A66" s="111"/>
      <c r="B66" s="111"/>
      <c r="C66" s="111"/>
      <c r="D66" s="115"/>
      <c r="E66" s="115" t="s">
        <v>282</v>
      </c>
      <c r="F66" s="111"/>
      <c r="G66" s="116">
        <v>-26.39</v>
      </c>
      <c r="H66" s="111"/>
      <c r="I66" s="111"/>
    </row>
    <row r="67" spans="1:9" ht="12.75">
      <c r="A67" s="111"/>
      <c r="B67" s="111"/>
      <c r="C67" s="111"/>
      <c r="D67" s="117"/>
      <c r="E67" s="117" t="s">
        <v>504</v>
      </c>
      <c r="F67" s="111"/>
      <c r="G67" s="119"/>
      <c r="H67" s="111"/>
      <c r="I67" s="111"/>
    </row>
    <row r="68" spans="1:9" ht="12.75">
      <c r="A68" s="111"/>
      <c r="B68" s="111"/>
      <c r="C68" s="111"/>
      <c r="D68" s="115"/>
      <c r="E68" s="115" t="s">
        <v>283</v>
      </c>
      <c r="F68" s="111"/>
      <c r="G68" s="116">
        <v>-19.136</v>
      </c>
      <c r="H68" s="111"/>
      <c r="I68" s="111"/>
    </row>
    <row r="69" spans="1:9" ht="12.75">
      <c r="A69" s="110" t="s">
        <v>505</v>
      </c>
      <c r="B69" s="110" t="s">
        <v>489</v>
      </c>
      <c r="C69" s="110" t="s">
        <v>493</v>
      </c>
      <c r="D69" s="111" t="s">
        <v>284</v>
      </c>
      <c r="E69" s="112" t="s">
        <v>285</v>
      </c>
      <c r="F69" s="110" t="s">
        <v>157</v>
      </c>
      <c r="G69" s="113">
        <f>G70</f>
        <v>163.18</v>
      </c>
      <c r="H69" s="114"/>
      <c r="I69" s="114">
        <f>ROUND(G69*H69,2)</f>
        <v>0</v>
      </c>
    </row>
    <row r="70" spans="1:9" ht="12.75">
      <c r="A70" s="111"/>
      <c r="B70" s="111"/>
      <c r="C70" s="111"/>
      <c r="D70" s="115"/>
      <c r="E70" s="115" t="s">
        <v>669</v>
      </c>
      <c r="F70" s="111"/>
      <c r="G70" s="116">
        <f>181.311*1.8*0.5</f>
        <v>163.18</v>
      </c>
      <c r="H70" s="111"/>
      <c r="I70" s="111"/>
    </row>
    <row r="71" spans="1:9" ht="22.5">
      <c r="A71" s="110" t="s">
        <v>506</v>
      </c>
      <c r="B71" s="110" t="s">
        <v>489</v>
      </c>
      <c r="C71" s="110" t="s">
        <v>92</v>
      </c>
      <c r="D71" s="111" t="s">
        <v>172</v>
      </c>
      <c r="E71" s="112" t="s">
        <v>173</v>
      </c>
      <c r="F71" s="110" t="s">
        <v>103</v>
      </c>
      <c r="G71" s="113">
        <f>G72</f>
        <v>106.65</v>
      </c>
      <c r="H71" s="114"/>
      <c r="I71" s="114">
        <f>ROUND(G71*H71,2)</f>
        <v>0</v>
      </c>
    </row>
    <row r="72" spans="1:9" ht="12.75">
      <c r="A72" s="111"/>
      <c r="B72" s="111"/>
      <c r="C72" s="111"/>
      <c r="D72" s="115"/>
      <c r="E72" s="115" t="s">
        <v>666</v>
      </c>
      <c r="F72" s="111"/>
      <c r="G72" s="116">
        <f>237*0.9*0.5</f>
        <v>106.65</v>
      </c>
      <c r="H72" s="111"/>
      <c r="I72" s="111"/>
    </row>
    <row r="73" spans="1:9" ht="12.75">
      <c r="A73" s="120" t="s">
        <v>507</v>
      </c>
      <c r="B73" s="120" t="s">
        <v>508</v>
      </c>
      <c r="C73" s="120" t="s">
        <v>509</v>
      </c>
      <c r="D73" s="121" t="s">
        <v>24</v>
      </c>
      <c r="E73" s="122" t="s">
        <v>510</v>
      </c>
      <c r="F73" s="120" t="s">
        <v>157</v>
      </c>
      <c r="G73" s="113">
        <f>G74</f>
        <v>191.97</v>
      </c>
      <c r="H73" s="124"/>
      <c r="I73" s="124">
        <f>ROUND(G73*H73,2)</f>
        <v>0</v>
      </c>
    </row>
    <row r="74" spans="1:9" ht="12.75">
      <c r="A74" s="111"/>
      <c r="B74" s="111"/>
      <c r="C74" s="111"/>
      <c r="D74" s="115"/>
      <c r="E74" s="115" t="s">
        <v>667</v>
      </c>
      <c r="F74" s="111"/>
      <c r="G74" s="116">
        <f>106.65*1.8</f>
        <v>191.97</v>
      </c>
      <c r="H74" s="111"/>
      <c r="I74" s="111"/>
    </row>
    <row r="75" spans="1:9" ht="12.75">
      <c r="A75" s="110" t="s">
        <v>511</v>
      </c>
      <c r="B75" s="110" t="s">
        <v>489</v>
      </c>
      <c r="C75" s="110" t="s">
        <v>92</v>
      </c>
      <c r="D75" s="111" t="s">
        <v>169</v>
      </c>
      <c r="E75" s="112" t="s">
        <v>170</v>
      </c>
      <c r="F75" s="110" t="s">
        <v>129</v>
      </c>
      <c r="G75" s="113">
        <f>G76</f>
        <v>249.78</v>
      </c>
      <c r="H75" s="114"/>
      <c r="I75" s="114">
        <f>ROUND(G75*H75,2)</f>
        <v>0</v>
      </c>
    </row>
    <row r="76" spans="1:9" ht="12.75">
      <c r="A76" s="111"/>
      <c r="B76" s="111"/>
      <c r="C76" s="111"/>
      <c r="D76" s="115"/>
      <c r="E76" s="115" t="s">
        <v>286</v>
      </c>
      <c r="F76" s="111"/>
      <c r="G76" s="116">
        <v>249.78</v>
      </c>
      <c r="H76" s="111"/>
      <c r="I76" s="111"/>
    </row>
    <row r="77" spans="1:9" ht="12.75">
      <c r="A77" s="110" t="s">
        <v>512</v>
      </c>
      <c r="B77" s="110" t="s">
        <v>489</v>
      </c>
      <c r="C77" s="110" t="s">
        <v>175</v>
      </c>
      <c r="D77" s="111" t="s">
        <v>176</v>
      </c>
      <c r="E77" s="112" t="s">
        <v>177</v>
      </c>
      <c r="F77" s="110" t="s">
        <v>103</v>
      </c>
      <c r="G77" s="113">
        <f>G78</f>
        <v>21.33</v>
      </c>
      <c r="H77" s="114"/>
      <c r="I77" s="114">
        <f>ROUND(G77*H77,2)</f>
        <v>0</v>
      </c>
    </row>
    <row r="78" spans="1:9" ht="12.75">
      <c r="A78" s="111"/>
      <c r="B78" s="111"/>
      <c r="C78" s="111"/>
      <c r="D78" s="115"/>
      <c r="E78" s="115" t="s">
        <v>287</v>
      </c>
      <c r="F78" s="111"/>
      <c r="G78" s="116">
        <f>237*0.9*0.1</f>
        <v>21.33</v>
      </c>
      <c r="H78" s="111"/>
      <c r="I78" s="111"/>
    </row>
    <row r="79" spans="1:9" ht="12.75">
      <c r="A79" s="106"/>
      <c r="B79" s="125" t="s">
        <v>488</v>
      </c>
      <c r="C79" s="106"/>
      <c r="D79" s="126" t="s">
        <v>90</v>
      </c>
      <c r="E79" s="126" t="s">
        <v>179</v>
      </c>
      <c r="F79" s="106"/>
      <c r="G79" s="106"/>
      <c r="H79" s="106"/>
      <c r="I79" s="127">
        <f>SUM(I80:I99)</f>
        <v>0</v>
      </c>
    </row>
    <row r="80" spans="1:9" ht="12.75">
      <c r="A80" s="110" t="s">
        <v>513</v>
      </c>
      <c r="B80" s="110" t="s">
        <v>489</v>
      </c>
      <c r="C80" s="110" t="s">
        <v>493</v>
      </c>
      <c r="D80" s="111" t="s">
        <v>514</v>
      </c>
      <c r="E80" s="112" t="s">
        <v>515</v>
      </c>
      <c r="F80" s="110" t="s">
        <v>72</v>
      </c>
      <c r="G80" s="113">
        <v>2</v>
      </c>
      <c r="H80" s="114"/>
      <c r="I80" s="114">
        <f aca="true" t="shared" si="0" ref="I80:I92">ROUND(G80*H80,2)</f>
        <v>0</v>
      </c>
    </row>
    <row r="81" spans="1:9" ht="12.75">
      <c r="A81" s="110" t="s">
        <v>516</v>
      </c>
      <c r="B81" s="110" t="s">
        <v>489</v>
      </c>
      <c r="C81" s="110" t="s">
        <v>493</v>
      </c>
      <c r="D81" s="111" t="s">
        <v>188</v>
      </c>
      <c r="E81" s="112" t="s">
        <v>517</v>
      </c>
      <c r="F81" s="110" t="s">
        <v>75</v>
      </c>
      <c r="G81" s="113">
        <v>237</v>
      </c>
      <c r="H81" s="114"/>
      <c r="I81" s="114">
        <f t="shared" si="0"/>
        <v>0</v>
      </c>
    </row>
    <row r="82" spans="1:9" ht="12.75">
      <c r="A82" s="110" t="s">
        <v>518</v>
      </c>
      <c r="B82" s="110" t="s">
        <v>489</v>
      </c>
      <c r="C82" s="110" t="s">
        <v>493</v>
      </c>
      <c r="D82" s="111" t="s">
        <v>193</v>
      </c>
      <c r="E82" s="112" t="s">
        <v>519</v>
      </c>
      <c r="F82" s="110" t="s">
        <v>72</v>
      </c>
      <c r="G82" s="113">
        <v>7</v>
      </c>
      <c r="H82" s="114"/>
      <c r="I82" s="114">
        <f t="shared" si="0"/>
        <v>0</v>
      </c>
    </row>
    <row r="83" spans="1:9" ht="12.75">
      <c r="A83" s="110" t="s">
        <v>232</v>
      </c>
      <c r="B83" s="110" t="s">
        <v>489</v>
      </c>
      <c r="C83" s="110" t="s">
        <v>493</v>
      </c>
      <c r="D83" s="111" t="s">
        <v>196</v>
      </c>
      <c r="E83" s="112" t="s">
        <v>520</v>
      </c>
      <c r="F83" s="110" t="s">
        <v>72</v>
      </c>
      <c r="G83" s="113">
        <v>8.08</v>
      </c>
      <c r="H83" s="114"/>
      <c r="I83" s="114">
        <f t="shared" si="0"/>
        <v>0</v>
      </c>
    </row>
    <row r="84" spans="1:9" ht="12.75">
      <c r="A84" s="110" t="s">
        <v>521</v>
      </c>
      <c r="B84" s="110" t="s">
        <v>489</v>
      </c>
      <c r="C84" s="110" t="s">
        <v>493</v>
      </c>
      <c r="D84" s="111" t="s">
        <v>197</v>
      </c>
      <c r="E84" s="112" t="s">
        <v>198</v>
      </c>
      <c r="F84" s="110" t="s">
        <v>72</v>
      </c>
      <c r="G84" s="113">
        <v>8.08</v>
      </c>
      <c r="H84" s="114"/>
      <c r="I84" s="114">
        <f t="shared" si="0"/>
        <v>0</v>
      </c>
    </row>
    <row r="85" spans="1:9" ht="12.75">
      <c r="A85" s="110" t="s">
        <v>234</v>
      </c>
      <c r="B85" s="110" t="s">
        <v>489</v>
      </c>
      <c r="C85" s="110" t="s">
        <v>493</v>
      </c>
      <c r="D85" s="111" t="s">
        <v>185</v>
      </c>
      <c r="E85" s="112" t="s">
        <v>522</v>
      </c>
      <c r="F85" s="110" t="s">
        <v>72</v>
      </c>
      <c r="G85" s="113">
        <v>2.02</v>
      </c>
      <c r="H85" s="114"/>
      <c r="I85" s="114">
        <f t="shared" si="0"/>
        <v>0</v>
      </c>
    </row>
    <row r="86" spans="1:9" ht="12.75">
      <c r="A86" s="110" t="s">
        <v>523</v>
      </c>
      <c r="B86" s="110" t="s">
        <v>489</v>
      </c>
      <c r="C86" s="110" t="s">
        <v>493</v>
      </c>
      <c r="D86" s="111" t="s">
        <v>186</v>
      </c>
      <c r="E86" s="112" t="s">
        <v>187</v>
      </c>
      <c r="F86" s="110" t="s">
        <v>72</v>
      </c>
      <c r="G86" s="113">
        <v>2.02</v>
      </c>
      <c r="H86" s="114"/>
      <c r="I86" s="114">
        <f t="shared" si="0"/>
        <v>0</v>
      </c>
    </row>
    <row r="87" spans="1:9" ht="12.75">
      <c r="A87" s="110" t="s">
        <v>236</v>
      </c>
      <c r="B87" s="110" t="s">
        <v>489</v>
      </c>
      <c r="C87" s="110" t="s">
        <v>493</v>
      </c>
      <c r="D87" s="111" t="s">
        <v>199</v>
      </c>
      <c r="E87" s="112" t="s">
        <v>200</v>
      </c>
      <c r="F87" s="110" t="s">
        <v>74</v>
      </c>
      <c r="G87" s="113">
        <v>1</v>
      </c>
      <c r="H87" s="114"/>
      <c r="I87" s="114">
        <f t="shared" si="0"/>
        <v>0</v>
      </c>
    </row>
    <row r="88" spans="1:9" ht="12.75">
      <c r="A88" s="110" t="s">
        <v>524</v>
      </c>
      <c r="B88" s="110" t="s">
        <v>489</v>
      </c>
      <c r="C88" s="110" t="s">
        <v>493</v>
      </c>
      <c r="D88" s="111" t="s">
        <v>189</v>
      </c>
      <c r="E88" s="112" t="s">
        <v>719</v>
      </c>
      <c r="F88" s="110" t="s">
        <v>75</v>
      </c>
      <c r="G88" s="113">
        <v>237</v>
      </c>
      <c r="H88" s="114"/>
      <c r="I88" s="114">
        <f t="shared" si="0"/>
        <v>0</v>
      </c>
    </row>
    <row r="89" spans="1:9" ht="12.75">
      <c r="A89" s="110" t="s">
        <v>289</v>
      </c>
      <c r="B89" s="110" t="s">
        <v>489</v>
      </c>
      <c r="C89" s="110" t="s">
        <v>175</v>
      </c>
      <c r="D89" s="111" t="s">
        <v>180</v>
      </c>
      <c r="E89" s="112" t="s">
        <v>526</v>
      </c>
      <c r="F89" s="110" t="s">
        <v>181</v>
      </c>
      <c r="G89" s="113">
        <v>4</v>
      </c>
      <c r="H89" s="114"/>
      <c r="I89" s="114">
        <f t="shared" si="0"/>
        <v>0</v>
      </c>
    </row>
    <row r="90" spans="1:9" ht="12.75">
      <c r="A90" s="120" t="s">
        <v>527</v>
      </c>
      <c r="B90" s="120" t="s">
        <v>508</v>
      </c>
      <c r="C90" s="120" t="s">
        <v>509</v>
      </c>
      <c r="D90" s="121" t="s">
        <v>36</v>
      </c>
      <c r="E90" s="122" t="s">
        <v>528</v>
      </c>
      <c r="F90" s="120" t="s">
        <v>72</v>
      </c>
      <c r="G90" s="123">
        <v>4.04</v>
      </c>
      <c r="H90" s="124"/>
      <c r="I90" s="124">
        <f t="shared" si="0"/>
        <v>0</v>
      </c>
    </row>
    <row r="91" spans="1:9" ht="22.5">
      <c r="A91" s="110" t="s">
        <v>529</v>
      </c>
      <c r="B91" s="110" t="s">
        <v>489</v>
      </c>
      <c r="C91" s="110" t="s">
        <v>175</v>
      </c>
      <c r="D91" s="111" t="s">
        <v>190</v>
      </c>
      <c r="E91" s="112" t="s">
        <v>191</v>
      </c>
      <c r="F91" s="110" t="s">
        <v>75</v>
      </c>
      <c r="G91" s="113">
        <v>237</v>
      </c>
      <c r="H91" s="114"/>
      <c r="I91" s="114">
        <f t="shared" si="0"/>
        <v>0</v>
      </c>
    </row>
    <row r="92" spans="1:9" ht="12.75">
      <c r="A92" s="120" t="s">
        <v>183</v>
      </c>
      <c r="B92" s="120" t="s">
        <v>508</v>
      </c>
      <c r="C92" s="120" t="s">
        <v>509</v>
      </c>
      <c r="D92" s="121" t="s">
        <v>192</v>
      </c>
      <c r="E92" s="122" t="s">
        <v>477</v>
      </c>
      <c r="F92" s="120" t="s">
        <v>75</v>
      </c>
      <c r="G92" s="123">
        <v>237</v>
      </c>
      <c r="H92" s="124"/>
      <c r="I92" s="124">
        <f t="shared" si="0"/>
        <v>0</v>
      </c>
    </row>
    <row r="93" spans="1:9" ht="12.75">
      <c r="A93" s="111"/>
      <c r="B93" s="111"/>
      <c r="C93" s="111"/>
      <c r="D93" s="115"/>
      <c r="E93" s="115" t="s">
        <v>288</v>
      </c>
      <c r="F93" s="111"/>
      <c r="G93" s="116">
        <v>237</v>
      </c>
      <c r="H93" s="111"/>
      <c r="I93" s="111"/>
    </row>
    <row r="94" spans="1:9" ht="22.5">
      <c r="A94" s="110" t="s">
        <v>530</v>
      </c>
      <c r="B94" s="110" t="s">
        <v>489</v>
      </c>
      <c r="C94" s="110" t="s">
        <v>175</v>
      </c>
      <c r="D94" s="111" t="s">
        <v>182</v>
      </c>
      <c r="E94" s="112" t="s">
        <v>531</v>
      </c>
      <c r="F94" s="110" t="s">
        <v>181</v>
      </c>
      <c r="G94" s="113">
        <v>40</v>
      </c>
      <c r="H94" s="114"/>
      <c r="I94" s="114">
        <f>ROUND(G94*H94,2)</f>
        <v>0</v>
      </c>
    </row>
    <row r="95" spans="1:9" ht="12.75">
      <c r="A95" s="111"/>
      <c r="B95" s="111"/>
      <c r="C95" s="111"/>
      <c r="D95" s="117"/>
      <c r="E95" s="117" t="s">
        <v>532</v>
      </c>
      <c r="F95" s="111"/>
      <c r="G95" s="118"/>
      <c r="H95" s="111"/>
      <c r="I95" s="111"/>
    </row>
    <row r="96" spans="1:9" ht="12.75">
      <c r="A96" s="111"/>
      <c r="B96" s="111"/>
      <c r="C96" s="111"/>
      <c r="D96" s="115"/>
      <c r="E96" s="115" t="s">
        <v>289</v>
      </c>
      <c r="F96" s="111"/>
      <c r="G96" s="116">
        <v>40</v>
      </c>
      <c r="H96" s="111"/>
      <c r="I96" s="111"/>
    </row>
    <row r="97" spans="1:9" ht="12.75">
      <c r="A97" s="120" t="s">
        <v>533</v>
      </c>
      <c r="B97" s="120" t="s">
        <v>508</v>
      </c>
      <c r="C97" s="120" t="s">
        <v>509</v>
      </c>
      <c r="D97" s="121" t="s">
        <v>184</v>
      </c>
      <c r="E97" s="122" t="s">
        <v>534</v>
      </c>
      <c r="F97" s="120" t="s">
        <v>72</v>
      </c>
      <c r="G97" s="123">
        <v>40.4</v>
      </c>
      <c r="H97" s="124"/>
      <c r="I97" s="124">
        <f>ROUND(G97*H97,2)</f>
        <v>0</v>
      </c>
    </row>
    <row r="98" spans="1:9" ht="12.75">
      <c r="A98" s="110" t="s">
        <v>535</v>
      </c>
      <c r="B98" s="110" t="s">
        <v>489</v>
      </c>
      <c r="C98" s="110" t="s">
        <v>175</v>
      </c>
      <c r="D98" s="111" t="s">
        <v>194</v>
      </c>
      <c r="E98" s="112" t="s">
        <v>671</v>
      </c>
      <c r="F98" s="110" t="s">
        <v>181</v>
      </c>
      <c r="G98" s="113">
        <v>8</v>
      </c>
      <c r="H98" s="114"/>
      <c r="I98" s="114">
        <f>ROUND(G98*H98,2)</f>
        <v>0</v>
      </c>
    </row>
    <row r="99" spans="1:9" ht="12.75">
      <c r="A99" s="110" t="s">
        <v>536</v>
      </c>
      <c r="B99" s="110" t="s">
        <v>489</v>
      </c>
      <c r="C99" s="110" t="s">
        <v>175</v>
      </c>
      <c r="D99" s="111" t="s">
        <v>290</v>
      </c>
      <c r="E99" s="112" t="s">
        <v>537</v>
      </c>
      <c r="F99" s="110" t="s">
        <v>75</v>
      </c>
      <c r="G99" s="113">
        <v>237</v>
      </c>
      <c r="H99" s="114"/>
      <c r="I99" s="114">
        <f>ROUND(G99*H99,2)</f>
        <v>0</v>
      </c>
    </row>
    <row r="100" spans="1:9" ht="12.75">
      <c r="A100" s="106"/>
      <c r="B100" s="107" t="s">
        <v>488</v>
      </c>
      <c r="C100" s="106"/>
      <c r="D100" s="108" t="s">
        <v>36</v>
      </c>
      <c r="E100" s="108" t="s">
        <v>209</v>
      </c>
      <c r="F100" s="106"/>
      <c r="G100" s="106"/>
      <c r="H100" s="106"/>
      <c r="I100" s="109">
        <f>I101</f>
        <v>0</v>
      </c>
    </row>
    <row r="101" spans="1:9" ht="22.5">
      <c r="A101" s="110" t="s">
        <v>538</v>
      </c>
      <c r="B101" s="110" t="s">
        <v>489</v>
      </c>
      <c r="C101" s="110" t="s">
        <v>175</v>
      </c>
      <c r="D101" s="111" t="s">
        <v>210</v>
      </c>
      <c r="E101" s="112" t="s">
        <v>211</v>
      </c>
      <c r="F101" s="110" t="s">
        <v>75</v>
      </c>
      <c r="G101" s="113">
        <v>237</v>
      </c>
      <c r="H101" s="114"/>
      <c r="I101" s="114">
        <f>ROUND(G101*H101,2)</f>
        <v>0</v>
      </c>
    </row>
    <row r="102" spans="1:9" ht="12.75">
      <c r="A102" s="106"/>
      <c r="B102" s="107" t="s">
        <v>488</v>
      </c>
      <c r="C102" s="106"/>
      <c r="D102" s="108" t="s">
        <v>86</v>
      </c>
      <c r="E102" s="108" t="s">
        <v>212</v>
      </c>
      <c r="F102" s="106"/>
      <c r="G102" s="106"/>
      <c r="H102" s="106"/>
      <c r="I102" s="109">
        <f>I103+SUM(I104:I111)</f>
        <v>0</v>
      </c>
    </row>
    <row r="103" spans="1:9" ht="12.75">
      <c r="A103" s="110" t="s">
        <v>539</v>
      </c>
      <c r="B103" s="110" t="s">
        <v>489</v>
      </c>
      <c r="C103" s="110" t="s">
        <v>213</v>
      </c>
      <c r="D103" s="111" t="s">
        <v>214</v>
      </c>
      <c r="E103" s="112" t="s">
        <v>215</v>
      </c>
      <c r="F103" s="110" t="s">
        <v>103</v>
      </c>
      <c r="G103" s="113">
        <v>7.296</v>
      </c>
      <c r="H103" s="114"/>
      <c r="I103" s="114">
        <f>ROUND(G103*H103,2)</f>
        <v>0</v>
      </c>
    </row>
    <row r="104" spans="1:9" ht="12.75">
      <c r="A104" s="111"/>
      <c r="B104" s="111"/>
      <c r="C104" s="111"/>
      <c r="D104" s="117"/>
      <c r="E104" s="117" t="s">
        <v>540</v>
      </c>
      <c r="F104" s="111"/>
      <c r="G104" s="118"/>
      <c r="H104" s="111"/>
      <c r="I104" s="111"/>
    </row>
    <row r="105" spans="1:9" ht="12.75">
      <c r="A105" s="111"/>
      <c r="B105" s="111"/>
      <c r="C105" s="111"/>
      <c r="D105" s="115"/>
      <c r="E105" s="115" t="s">
        <v>216</v>
      </c>
      <c r="F105" s="111"/>
      <c r="G105" s="116">
        <v>3.2</v>
      </c>
      <c r="H105" s="111"/>
      <c r="I105" s="111"/>
    </row>
    <row r="106" spans="1:9" ht="12.75">
      <c r="A106" s="111"/>
      <c r="B106" s="111"/>
      <c r="C106" s="111"/>
      <c r="D106" s="117"/>
      <c r="E106" s="117" t="s">
        <v>541</v>
      </c>
      <c r="F106" s="111"/>
      <c r="G106" s="119"/>
      <c r="H106" s="111"/>
      <c r="I106" s="111"/>
    </row>
    <row r="107" spans="1:9" ht="12.75">
      <c r="A107" s="111"/>
      <c r="B107" s="111"/>
      <c r="C107" s="111"/>
      <c r="D107" s="115"/>
      <c r="E107" s="115" t="s">
        <v>217</v>
      </c>
      <c r="F107" s="111"/>
      <c r="G107" s="116">
        <v>4.096</v>
      </c>
      <c r="H107" s="111"/>
      <c r="I107" s="111"/>
    </row>
    <row r="108" spans="1:9" ht="12.75">
      <c r="A108" s="110">
        <v>50</v>
      </c>
      <c r="B108" s="110" t="s">
        <v>489</v>
      </c>
      <c r="C108" s="110" t="s">
        <v>175</v>
      </c>
      <c r="D108" s="111" t="s">
        <v>218</v>
      </c>
      <c r="E108" s="112" t="s">
        <v>291</v>
      </c>
      <c r="F108" s="110" t="s">
        <v>103</v>
      </c>
      <c r="G108" s="113">
        <v>2.408</v>
      </c>
      <c r="H108" s="114"/>
      <c r="I108" s="114">
        <f>ROUND(G108*H108,2)</f>
        <v>0</v>
      </c>
    </row>
    <row r="109" spans="1:9" ht="12.75">
      <c r="A109" s="111"/>
      <c r="B109" s="111"/>
      <c r="C109" s="111"/>
      <c r="D109" s="115"/>
      <c r="E109" s="115" t="s">
        <v>219</v>
      </c>
      <c r="F109" s="111"/>
      <c r="G109" s="116">
        <v>1.256</v>
      </c>
      <c r="H109" s="111"/>
      <c r="I109" s="111"/>
    </row>
    <row r="110" spans="1:9" ht="12.75">
      <c r="A110" s="111"/>
      <c r="B110" s="111"/>
      <c r="C110" s="111"/>
      <c r="D110" s="115"/>
      <c r="E110" s="115" t="s">
        <v>220</v>
      </c>
      <c r="F110" s="111"/>
      <c r="G110" s="116">
        <v>1.152</v>
      </c>
      <c r="H110" s="111"/>
      <c r="I110" s="111"/>
    </row>
    <row r="111" spans="1:9" ht="12.75">
      <c r="A111" s="106"/>
      <c r="B111" s="125" t="s">
        <v>488</v>
      </c>
      <c r="C111" s="106"/>
      <c r="D111" s="126" t="s">
        <v>85</v>
      </c>
      <c r="E111" s="126" t="s">
        <v>225</v>
      </c>
      <c r="F111" s="106"/>
      <c r="G111" s="106"/>
      <c r="H111" s="106"/>
      <c r="I111" s="127">
        <f>SUM(I112:I135)</f>
        <v>0</v>
      </c>
    </row>
    <row r="112" spans="1:9" ht="12.75">
      <c r="A112" s="110">
        <v>51</v>
      </c>
      <c r="B112" s="110" t="s">
        <v>489</v>
      </c>
      <c r="C112" s="110" t="s">
        <v>493</v>
      </c>
      <c r="D112" s="111" t="s">
        <v>203</v>
      </c>
      <c r="E112" s="112" t="s">
        <v>204</v>
      </c>
      <c r="F112" s="110" t="s">
        <v>72</v>
      </c>
      <c r="G112" s="113">
        <v>1</v>
      </c>
      <c r="H112" s="114"/>
      <c r="I112" s="114">
        <f aca="true" t="shared" si="1" ref="I112:I119">ROUND(G112*H112,2)</f>
        <v>0</v>
      </c>
    </row>
    <row r="113" spans="1:9" ht="12.75">
      <c r="A113" s="110">
        <v>52</v>
      </c>
      <c r="B113" s="110" t="s">
        <v>489</v>
      </c>
      <c r="C113" s="110" t="s">
        <v>493</v>
      </c>
      <c r="D113" s="111" t="s">
        <v>226</v>
      </c>
      <c r="E113" s="112" t="s">
        <v>227</v>
      </c>
      <c r="F113" s="110" t="s">
        <v>72</v>
      </c>
      <c r="G113" s="113">
        <v>1</v>
      </c>
      <c r="H113" s="114"/>
      <c r="I113" s="114">
        <f t="shared" si="1"/>
        <v>0</v>
      </c>
    </row>
    <row r="114" spans="1:9" ht="12.75">
      <c r="A114" s="110">
        <v>53</v>
      </c>
      <c r="B114" s="110" t="s">
        <v>489</v>
      </c>
      <c r="C114" s="110" t="s">
        <v>493</v>
      </c>
      <c r="D114" s="111" t="s">
        <v>228</v>
      </c>
      <c r="E114" s="112" t="s">
        <v>229</v>
      </c>
      <c r="F114" s="110" t="s">
        <v>72</v>
      </c>
      <c r="G114" s="113">
        <v>1</v>
      </c>
      <c r="H114" s="114"/>
      <c r="I114" s="114">
        <f t="shared" si="1"/>
        <v>0</v>
      </c>
    </row>
    <row r="115" spans="1:9" ht="12.75">
      <c r="A115" s="110">
        <v>54</v>
      </c>
      <c r="B115" s="110" t="s">
        <v>489</v>
      </c>
      <c r="C115" s="110" t="s">
        <v>493</v>
      </c>
      <c r="D115" s="111" t="s">
        <v>230</v>
      </c>
      <c r="E115" s="112" t="s">
        <v>231</v>
      </c>
      <c r="F115" s="110" t="s">
        <v>72</v>
      </c>
      <c r="G115" s="113">
        <v>1</v>
      </c>
      <c r="H115" s="114"/>
      <c r="I115" s="114">
        <f t="shared" si="1"/>
        <v>0</v>
      </c>
    </row>
    <row r="116" spans="1:9" ht="12.75">
      <c r="A116" s="120">
        <v>55</v>
      </c>
      <c r="B116" s="120" t="s">
        <v>508</v>
      </c>
      <c r="C116" s="120" t="s">
        <v>509</v>
      </c>
      <c r="D116" s="121" t="s">
        <v>232</v>
      </c>
      <c r="E116" s="122" t="s">
        <v>233</v>
      </c>
      <c r="F116" s="120" t="s">
        <v>72</v>
      </c>
      <c r="G116" s="123">
        <v>1</v>
      </c>
      <c r="H116" s="124"/>
      <c r="I116" s="124">
        <f t="shared" si="1"/>
        <v>0</v>
      </c>
    </row>
    <row r="117" spans="1:9" ht="12.75">
      <c r="A117" s="120">
        <v>56</v>
      </c>
      <c r="B117" s="120" t="s">
        <v>508</v>
      </c>
      <c r="C117" s="120" t="s">
        <v>509</v>
      </c>
      <c r="D117" s="121" t="s">
        <v>234</v>
      </c>
      <c r="E117" s="122" t="s">
        <v>235</v>
      </c>
      <c r="F117" s="120" t="s">
        <v>72</v>
      </c>
      <c r="G117" s="123">
        <v>1</v>
      </c>
      <c r="H117" s="124"/>
      <c r="I117" s="124">
        <f t="shared" si="1"/>
        <v>0</v>
      </c>
    </row>
    <row r="118" spans="1:9" ht="12.75">
      <c r="A118" s="120">
        <v>57</v>
      </c>
      <c r="B118" s="120" t="s">
        <v>508</v>
      </c>
      <c r="C118" s="120" t="s">
        <v>509</v>
      </c>
      <c r="D118" s="121" t="s">
        <v>236</v>
      </c>
      <c r="E118" s="122" t="s">
        <v>552</v>
      </c>
      <c r="F118" s="120" t="s">
        <v>72</v>
      </c>
      <c r="G118" s="123">
        <v>1</v>
      </c>
      <c r="H118" s="124"/>
      <c r="I118" s="124">
        <f t="shared" si="1"/>
        <v>0</v>
      </c>
    </row>
    <row r="119" spans="1:9" ht="12.75">
      <c r="A119" s="110">
        <v>58</v>
      </c>
      <c r="B119" s="110" t="s">
        <v>489</v>
      </c>
      <c r="C119" s="110" t="s">
        <v>493</v>
      </c>
      <c r="D119" s="111" t="s">
        <v>205</v>
      </c>
      <c r="E119" s="112" t="s">
        <v>206</v>
      </c>
      <c r="F119" s="110" t="s">
        <v>72</v>
      </c>
      <c r="G119" s="113">
        <v>5</v>
      </c>
      <c r="H119" s="114"/>
      <c r="I119" s="114">
        <f t="shared" si="1"/>
        <v>0</v>
      </c>
    </row>
    <row r="120" spans="1:9" ht="12.75">
      <c r="A120" s="110">
        <v>59</v>
      </c>
      <c r="B120" s="110" t="s">
        <v>489</v>
      </c>
      <c r="C120" s="110" t="s">
        <v>493</v>
      </c>
      <c r="D120" s="111" t="s">
        <v>207</v>
      </c>
      <c r="E120" s="112" t="s">
        <v>208</v>
      </c>
      <c r="F120" s="110" t="s">
        <v>72</v>
      </c>
      <c r="G120" s="113">
        <v>7</v>
      </c>
      <c r="H120" s="114"/>
      <c r="I120" s="114">
        <f>ROUND(G120*H120,2)</f>
        <v>0</v>
      </c>
    </row>
    <row r="121" spans="1:9" ht="12.75">
      <c r="A121" s="111"/>
      <c r="B121" s="111"/>
      <c r="C121" s="111"/>
      <c r="D121" s="117"/>
      <c r="E121" s="117" t="s">
        <v>556</v>
      </c>
      <c r="F121" s="111"/>
      <c r="G121" s="118"/>
      <c r="H121" s="111"/>
      <c r="I121" s="111"/>
    </row>
    <row r="122" spans="1:9" ht="12.75">
      <c r="A122" s="111"/>
      <c r="B122" s="111"/>
      <c r="C122" s="111"/>
      <c r="D122" s="115"/>
      <c r="E122" s="115" t="s">
        <v>85</v>
      </c>
      <c r="F122" s="111"/>
      <c r="G122" s="116">
        <v>3</v>
      </c>
      <c r="H122" s="111"/>
      <c r="I122" s="111"/>
    </row>
    <row r="123" spans="1:9" ht="12.75">
      <c r="A123" s="111"/>
      <c r="B123" s="111"/>
      <c r="C123" s="111"/>
      <c r="D123" s="117"/>
      <c r="E123" s="117" t="s">
        <v>557</v>
      </c>
      <c r="F123" s="111"/>
      <c r="G123" s="119"/>
      <c r="H123" s="111"/>
      <c r="I123" s="111"/>
    </row>
    <row r="124" spans="1:9" ht="12.75">
      <c r="A124" s="111"/>
      <c r="B124" s="111"/>
      <c r="C124" s="111"/>
      <c r="D124" s="115"/>
      <c r="E124" s="115" t="s">
        <v>86</v>
      </c>
      <c r="F124" s="111"/>
      <c r="G124" s="116">
        <v>4</v>
      </c>
      <c r="H124" s="111"/>
      <c r="I124" s="111"/>
    </row>
    <row r="125" spans="1:9" ht="12.75">
      <c r="A125" s="110">
        <v>60</v>
      </c>
      <c r="B125" s="110" t="s">
        <v>489</v>
      </c>
      <c r="C125" s="110" t="s">
        <v>239</v>
      </c>
      <c r="D125" s="111" t="s">
        <v>240</v>
      </c>
      <c r="E125" s="112" t="s">
        <v>241</v>
      </c>
      <c r="F125" s="110" t="s">
        <v>103</v>
      </c>
      <c r="G125" s="113">
        <v>15.103</v>
      </c>
      <c r="H125" s="114"/>
      <c r="I125" s="114">
        <f>ROUND(G125*H125,2)</f>
        <v>0</v>
      </c>
    </row>
    <row r="126" spans="1:9" ht="12.75">
      <c r="A126" s="111"/>
      <c r="B126" s="111"/>
      <c r="C126" s="111"/>
      <c r="D126" s="115"/>
      <c r="E126" s="115" t="s">
        <v>292</v>
      </c>
      <c r="F126" s="111"/>
      <c r="G126" s="116">
        <v>15.103</v>
      </c>
      <c r="H126" s="111"/>
      <c r="I126" s="111"/>
    </row>
    <row r="127" spans="1:9" ht="12.75">
      <c r="A127" s="110">
        <v>61</v>
      </c>
      <c r="B127" s="110" t="s">
        <v>489</v>
      </c>
      <c r="C127" s="110" t="s">
        <v>239</v>
      </c>
      <c r="D127" s="111" t="s">
        <v>243</v>
      </c>
      <c r="E127" s="112" t="s">
        <v>244</v>
      </c>
      <c r="F127" s="110" t="s">
        <v>103</v>
      </c>
      <c r="G127" s="113">
        <v>15.103</v>
      </c>
      <c r="H127" s="114"/>
      <c r="I127" s="114">
        <f>ROUND(G127*H127,2)</f>
        <v>0</v>
      </c>
    </row>
    <row r="128" spans="1:9" ht="12.75">
      <c r="A128" s="110">
        <v>62</v>
      </c>
      <c r="B128" s="110" t="s">
        <v>489</v>
      </c>
      <c r="C128" s="110" t="s">
        <v>239</v>
      </c>
      <c r="D128" s="111" t="s">
        <v>246</v>
      </c>
      <c r="E128" s="112" t="s">
        <v>247</v>
      </c>
      <c r="F128" s="110" t="s">
        <v>129</v>
      </c>
      <c r="G128" s="113">
        <v>9.406</v>
      </c>
      <c r="H128" s="114"/>
      <c r="I128" s="114">
        <f>ROUND(G128*H128,2)</f>
        <v>0</v>
      </c>
    </row>
    <row r="129" spans="1:9" ht="12.75">
      <c r="A129" s="111"/>
      <c r="B129" s="111"/>
      <c r="C129" s="111"/>
      <c r="D129" s="115"/>
      <c r="E129" s="115" t="s">
        <v>248</v>
      </c>
      <c r="F129" s="111"/>
      <c r="G129" s="116">
        <v>4.90625</v>
      </c>
      <c r="H129" s="111"/>
      <c r="I129" s="111"/>
    </row>
    <row r="130" spans="1:9" ht="12.75">
      <c r="A130" s="111"/>
      <c r="B130" s="111"/>
      <c r="C130" s="111"/>
      <c r="D130" s="115"/>
      <c r="E130" s="115" t="s">
        <v>249</v>
      </c>
      <c r="F130" s="111"/>
      <c r="G130" s="116">
        <v>4.5</v>
      </c>
      <c r="H130" s="111"/>
      <c r="I130" s="111"/>
    </row>
    <row r="131" spans="1:9" ht="22.5">
      <c r="A131" s="110">
        <v>63</v>
      </c>
      <c r="B131" s="110" t="s">
        <v>489</v>
      </c>
      <c r="C131" s="110" t="s">
        <v>239</v>
      </c>
      <c r="D131" s="111" t="s">
        <v>250</v>
      </c>
      <c r="E131" s="112" t="s">
        <v>251</v>
      </c>
      <c r="F131" s="110" t="s">
        <v>129</v>
      </c>
      <c r="G131" s="113">
        <v>4.906</v>
      </c>
      <c r="H131" s="114"/>
      <c r="I131" s="114">
        <f>ROUND(G131*H131,2)</f>
        <v>0</v>
      </c>
    </row>
    <row r="132" spans="1:9" ht="12.75">
      <c r="A132" s="111"/>
      <c r="B132" s="111"/>
      <c r="C132" s="111"/>
      <c r="D132" s="115"/>
      <c r="E132" s="115" t="s">
        <v>248</v>
      </c>
      <c r="F132" s="111"/>
      <c r="G132" s="116">
        <v>4.90625</v>
      </c>
      <c r="H132" s="111"/>
      <c r="I132" s="111"/>
    </row>
    <row r="133" spans="1:9" ht="12.75">
      <c r="A133" s="110">
        <v>64</v>
      </c>
      <c r="B133" s="110" t="s">
        <v>489</v>
      </c>
      <c r="C133" s="110" t="s">
        <v>239</v>
      </c>
      <c r="D133" s="111" t="s">
        <v>252</v>
      </c>
      <c r="E133" s="112" t="s">
        <v>253</v>
      </c>
      <c r="F133" s="110" t="s">
        <v>181</v>
      </c>
      <c r="G133" s="113">
        <v>4</v>
      </c>
      <c r="H133" s="114"/>
      <c r="I133" s="114">
        <f>ROUND(G133*H133,2)</f>
        <v>0</v>
      </c>
    </row>
    <row r="134" spans="1:9" ht="12.75">
      <c r="A134" s="120">
        <v>65</v>
      </c>
      <c r="B134" s="120" t="s">
        <v>508</v>
      </c>
      <c r="C134" s="120" t="s">
        <v>509</v>
      </c>
      <c r="D134" s="121" t="s">
        <v>254</v>
      </c>
      <c r="E134" s="122" t="s">
        <v>293</v>
      </c>
      <c r="F134" s="120" t="s">
        <v>72</v>
      </c>
      <c r="G134" s="123">
        <v>2</v>
      </c>
      <c r="H134" s="124"/>
      <c r="I134" s="124">
        <f>ROUND(G134*H134,2)</f>
        <v>0</v>
      </c>
    </row>
    <row r="135" spans="1:9" ht="12.75">
      <c r="A135" s="120">
        <v>66</v>
      </c>
      <c r="B135" s="120" t="s">
        <v>508</v>
      </c>
      <c r="C135" s="120" t="s">
        <v>509</v>
      </c>
      <c r="D135" s="121" t="s">
        <v>256</v>
      </c>
      <c r="E135" s="122" t="s">
        <v>569</v>
      </c>
      <c r="F135" s="120" t="s">
        <v>72</v>
      </c>
      <c r="G135" s="123">
        <v>2</v>
      </c>
      <c r="H135" s="124"/>
      <c r="I135" s="124">
        <f>ROUND(G135*H135,2)</f>
        <v>0</v>
      </c>
    </row>
    <row r="136" spans="1:9" ht="12.75">
      <c r="A136" s="106"/>
      <c r="B136" s="107" t="s">
        <v>488</v>
      </c>
      <c r="C136" s="106"/>
      <c r="D136" s="108" t="s">
        <v>87</v>
      </c>
      <c r="E136" s="108" t="s">
        <v>294</v>
      </c>
      <c r="F136" s="106"/>
      <c r="G136" s="106"/>
      <c r="H136" s="106"/>
      <c r="I136" s="109">
        <f>SUM(I137:I208)</f>
        <v>0</v>
      </c>
    </row>
    <row r="137" spans="1:9" ht="12.75">
      <c r="A137" s="110">
        <v>67</v>
      </c>
      <c r="B137" s="110" t="s">
        <v>489</v>
      </c>
      <c r="C137" s="110" t="s">
        <v>295</v>
      </c>
      <c r="D137" s="111" t="s">
        <v>296</v>
      </c>
      <c r="E137" s="112" t="s">
        <v>297</v>
      </c>
      <c r="F137" s="110" t="s">
        <v>75</v>
      </c>
      <c r="G137" s="113">
        <v>486</v>
      </c>
      <c r="H137" s="114"/>
      <c r="I137" s="114">
        <f>ROUND(G137*H137,2)</f>
        <v>0</v>
      </c>
    </row>
    <row r="138" spans="1:9" ht="12.75">
      <c r="A138" s="111"/>
      <c r="B138" s="111"/>
      <c r="C138" s="111"/>
      <c r="D138" s="115"/>
      <c r="E138" s="115" t="s">
        <v>298</v>
      </c>
      <c r="F138" s="111"/>
      <c r="G138" s="116">
        <v>486</v>
      </c>
      <c r="H138" s="111"/>
      <c r="I138" s="111"/>
    </row>
    <row r="139" spans="1:9" ht="12.75">
      <c r="A139" s="110">
        <v>68</v>
      </c>
      <c r="B139" s="110" t="s">
        <v>489</v>
      </c>
      <c r="C139" s="110" t="s">
        <v>295</v>
      </c>
      <c r="D139" s="111" t="s">
        <v>299</v>
      </c>
      <c r="E139" s="112" t="s">
        <v>300</v>
      </c>
      <c r="F139" s="110" t="s">
        <v>129</v>
      </c>
      <c r="G139" s="113">
        <v>196.39</v>
      </c>
      <c r="H139" s="114"/>
      <c r="I139" s="114">
        <f>ROUND(G139*H139,2)</f>
        <v>0</v>
      </c>
    </row>
    <row r="140" spans="1:9" ht="12.75">
      <c r="A140" s="111"/>
      <c r="B140" s="111"/>
      <c r="C140" s="111"/>
      <c r="D140" s="117"/>
      <c r="E140" s="117" t="s">
        <v>307</v>
      </c>
      <c r="F140" s="111"/>
      <c r="G140" s="118"/>
      <c r="H140" s="111"/>
      <c r="I140" s="111"/>
    </row>
    <row r="141" spans="1:9" ht="12.75">
      <c r="A141" s="111"/>
      <c r="B141" s="111"/>
      <c r="C141" s="111"/>
      <c r="D141" s="115"/>
      <c r="E141" s="115" t="s">
        <v>301</v>
      </c>
      <c r="F141" s="111"/>
      <c r="G141" s="116">
        <v>196.39</v>
      </c>
      <c r="H141" s="111"/>
      <c r="I141" s="111"/>
    </row>
    <row r="142" spans="1:9" ht="12.75">
      <c r="A142" s="110">
        <v>69</v>
      </c>
      <c r="B142" s="110" t="s">
        <v>489</v>
      </c>
      <c r="C142" s="110" t="s">
        <v>295</v>
      </c>
      <c r="D142" s="111" t="s">
        <v>302</v>
      </c>
      <c r="E142" s="112" t="s">
        <v>303</v>
      </c>
      <c r="F142" s="110" t="s">
        <v>129</v>
      </c>
      <c r="G142" s="113">
        <v>196.39</v>
      </c>
      <c r="H142" s="114"/>
      <c r="I142" s="114">
        <f>ROUND(G142*H142,2)</f>
        <v>0</v>
      </c>
    </row>
    <row r="143" spans="1:9" ht="12.75">
      <c r="A143" s="111"/>
      <c r="B143" s="111"/>
      <c r="C143" s="111"/>
      <c r="D143" s="117"/>
      <c r="E143" s="117" t="s">
        <v>307</v>
      </c>
      <c r="F143" s="111"/>
      <c r="G143" s="118"/>
      <c r="H143" s="111"/>
      <c r="I143" s="111"/>
    </row>
    <row r="144" spans="1:9" ht="12.75">
      <c r="A144" s="111"/>
      <c r="B144" s="111"/>
      <c r="C144" s="111"/>
      <c r="D144" s="115"/>
      <c r="E144" s="115" t="s">
        <v>304</v>
      </c>
      <c r="F144" s="111"/>
      <c r="G144" s="116">
        <v>188.5</v>
      </c>
      <c r="H144" s="111"/>
      <c r="I144" s="111"/>
    </row>
    <row r="145" spans="1:9" ht="12.75">
      <c r="A145" s="111"/>
      <c r="B145" s="111"/>
      <c r="C145" s="111"/>
      <c r="D145" s="117"/>
      <c r="E145" s="117" t="s">
        <v>573</v>
      </c>
      <c r="F145" s="111"/>
      <c r="G145" s="119"/>
      <c r="H145" s="111"/>
      <c r="I145" s="111"/>
    </row>
    <row r="146" spans="1:9" ht="12.75">
      <c r="A146" s="111"/>
      <c r="B146" s="111"/>
      <c r="C146" s="111"/>
      <c r="D146" s="115"/>
      <c r="E146" s="115" t="s">
        <v>305</v>
      </c>
      <c r="F146" s="111"/>
      <c r="G146" s="116">
        <v>7.89</v>
      </c>
      <c r="H146" s="111"/>
      <c r="I146" s="111"/>
    </row>
    <row r="147" spans="1:9" ht="12.75">
      <c r="A147" s="110">
        <v>70</v>
      </c>
      <c r="B147" s="110" t="s">
        <v>489</v>
      </c>
      <c r="C147" s="110" t="s">
        <v>295</v>
      </c>
      <c r="D147" s="111" t="s">
        <v>306</v>
      </c>
      <c r="E147" s="112" t="s">
        <v>379</v>
      </c>
      <c r="F147" s="110" t="s">
        <v>129</v>
      </c>
      <c r="G147" s="113">
        <v>343.24</v>
      </c>
      <c r="H147" s="114"/>
      <c r="I147" s="114">
        <f>ROUND(G147*H147,2)</f>
        <v>0</v>
      </c>
    </row>
    <row r="148" spans="1:9" ht="12.75">
      <c r="A148" s="111"/>
      <c r="B148" s="111"/>
      <c r="C148" s="111"/>
      <c r="D148" s="117"/>
      <c r="E148" s="117" t="s">
        <v>307</v>
      </c>
      <c r="F148" s="111"/>
      <c r="G148" s="118"/>
      <c r="H148" s="111"/>
      <c r="I148" s="111"/>
    </row>
    <row r="149" spans="1:9" ht="12.75">
      <c r="A149" s="111"/>
      <c r="B149" s="111"/>
      <c r="C149" s="111"/>
      <c r="D149" s="115"/>
      <c r="E149" s="115" t="s">
        <v>308</v>
      </c>
      <c r="F149" s="111"/>
      <c r="G149" s="116">
        <v>188.5</v>
      </c>
      <c r="H149" s="111"/>
      <c r="I149" s="111"/>
    </row>
    <row r="150" spans="1:9" ht="12.75">
      <c r="A150" s="111"/>
      <c r="B150" s="111"/>
      <c r="C150" s="111"/>
      <c r="D150" s="117"/>
      <c r="E150" s="117" t="s">
        <v>573</v>
      </c>
      <c r="F150" s="111"/>
      <c r="G150" s="119"/>
      <c r="H150" s="111"/>
      <c r="I150" s="111"/>
    </row>
    <row r="151" spans="1:9" ht="12.75">
      <c r="A151" s="111"/>
      <c r="B151" s="111"/>
      <c r="C151" s="111"/>
      <c r="D151" s="115"/>
      <c r="E151" s="115" t="s">
        <v>305</v>
      </c>
      <c r="F151" s="111"/>
      <c r="G151" s="116">
        <v>7.89</v>
      </c>
      <c r="H151" s="111"/>
      <c r="I151" s="111"/>
    </row>
    <row r="152" spans="1:9" ht="12.75">
      <c r="A152" s="111"/>
      <c r="B152" s="111"/>
      <c r="C152" s="111"/>
      <c r="D152" s="117"/>
      <c r="E152" s="117" t="s">
        <v>341</v>
      </c>
      <c r="F152" s="111"/>
      <c r="G152" s="119"/>
      <c r="H152" s="111"/>
      <c r="I152" s="111"/>
    </row>
    <row r="153" spans="1:9" ht="12.75">
      <c r="A153" s="111"/>
      <c r="B153" s="111"/>
      <c r="C153" s="111"/>
      <c r="D153" s="115"/>
      <c r="E153" s="115" t="s">
        <v>309</v>
      </c>
      <c r="F153" s="111"/>
      <c r="G153" s="116">
        <v>119.6</v>
      </c>
      <c r="H153" s="111"/>
      <c r="I153" s="111"/>
    </row>
    <row r="154" spans="1:9" ht="12.75">
      <c r="A154" s="111"/>
      <c r="B154" s="111"/>
      <c r="C154" s="111"/>
      <c r="D154" s="117"/>
      <c r="E154" s="117" t="s">
        <v>573</v>
      </c>
      <c r="F154" s="111"/>
      <c r="G154" s="119"/>
      <c r="H154" s="111"/>
      <c r="I154" s="111"/>
    </row>
    <row r="155" spans="1:9" ht="12.75">
      <c r="A155" s="111"/>
      <c r="B155" s="111"/>
      <c r="C155" s="111"/>
      <c r="D155" s="115"/>
      <c r="E155" s="115" t="s">
        <v>305</v>
      </c>
      <c r="F155" s="111"/>
      <c r="G155" s="116">
        <v>7.89</v>
      </c>
      <c r="H155" s="111"/>
      <c r="I155" s="111"/>
    </row>
    <row r="156" spans="1:9" ht="12.75">
      <c r="A156" s="111"/>
      <c r="B156" s="111"/>
      <c r="C156" s="111"/>
      <c r="D156" s="115"/>
      <c r="E156" s="115" t="s">
        <v>310</v>
      </c>
      <c r="F156" s="111"/>
      <c r="G156" s="116">
        <v>19.36</v>
      </c>
      <c r="H156" s="111"/>
      <c r="I156" s="111"/>
    </row>
    <row r="157" spans="1:9" ht="12.75">
      <c r="A157" s="110">
        <v>71</v>
      </c>
      <c r="B157" s="110" t="s">
        <v>489</v>
      </c>
      <c r="C157" s="110" t="s">
        <v>295</v>
      </c>
      <c r="D157" s="111" t="s">
        <v>311</v>
      </c>
      <c r="E157" s="112" t="s">
        <v>312</v>
      </c>
      <c r="F157" s="110" t="s">
        <v>129</v>
      </c>
      <c r="G157" s="113">
        <v>343.24</v>
      </c>
      <c r="H157" s="114"/>
      <c r="I157" s="114">
        <f>ROUND(G157*H157,2)</f>
        <v>0</v>
      </c>
    </row>
    <row r="158" spans="1:9" ht="12.75">
      <c r="A158" s="111"/>
      <c r="B158" s="111"/>
      <c r="C158" s="111"/>
      <c r="D158" s="117"/>
      <c r="E158" s="117" t="s">
        <v>313</v>
      </c>
      <c r="F158" s="111"/>
      <c r="G158" s="118"/>
      <c r="H158" s="111"/>
      <c r="I158" s="111"/>
    </row>
    <row r="159" spans="1:9" ht="12.75">
      <c r="A159" s="111"/>
      <c r="B159" s="111"/>
      <c r="C159" s="111"/>
      <c r="D159" s="115"/>
      <c r="E159" s="115" t="s">
        <v>314</v>
      </c>
      <c r="F159" s="111"/>
      <c r="G159" s="116">
        <v>343.24</v>
      </c>
      <c r="H159" s="111"/>
      <c r="I159" s="111"/>
    </row>
    <row r="160" spans="1:9" ht="12.75">
      <c r="A160" s="110">
        <v>72</v>
      </c>
      <c r="B160" s="110" t="s">
        <v>489</v>
      </c>
      <c r="C160" s="110" t="s">
        <v>315</v>
      </c>
      <c r="D160" s="111" t="s">
        <v>316</v>
      </c>
      <c r="E160" s="112" t="s">
        <v>383</v>
      </c>
      <c r="F160" s="110" t="s">
        <v>157</v>
      </c>
      <c r="G160" s="113">
        <v>159.527</v>
      </c>
      <c r="H160" s="114"/>
      <c r="I160" s="114">
        <f>ROUND(G160*H160,2)</f>
        <v>0</v>
      </c>
    </row>
    <row r="161" spans="1:9" ht="12.75">
      <c r="A161" s="111"/>
      <c r="B161" s="111"/>
      <c r="C161" s="111"/>
      <c r="D161" s="117"/>
      <c r="E161" s="117" t="s">
        <v>464</v>
      </c>
      <c r="F161" s="111"/>
      <c r="G161" s="118"/>
      <c r="H161" s="111"/>
      <c r="I161" s="111"/>
    </row>
    <row r="162" spans="1:9" ht="12.75">
      <c r="A162" s="111"/>
      <c r="B162" s="111"/>
      <c r="C162" s="111"/>
      <c r="D162" s="115"/>
      <c r="E162" s="115" t="s">
        <v>317</v>
      </c>
      <c r="F162" s="111"/>
      <c r="G162" s="116">
        <v>159.527</v>
      </c>
      <c r="H162" s="111"/>
      <c r="I162" s="111"/>
    </row>
    <row r="163" spans="1:9" ht="12.75">
      <c r="A163" s="110">
        <v>73</v>
      </c>
      <c r="B163" s="110" t="s">
        <v>489</v>
      </c>
      <c r="C163" s="110" t="s">
        <v>315</v>
      </c>
      <c r="D163" s="111" t="s">
        <v>318</v>
      </c>
      <c r="E163" s="112" t="s">
        <v>319</v>
      </c>
      <c r="F163" s="110" t="s">
        <v>157</v>
      </c>
      <c r="G163" s="113">
        <v>1754.797</v>
      </c>
      <c r="H163" s="114"/>
      <c r="I163" s="114">
        <f>ROUND(G163*H163,2)</f>
        <v>0</v>
      </c>
    </row>
    <row r="164" spans="1:9" ht="12.75">
      <c r="A164" s="111"/>
      <c r="B164" s="111"/>
      <c r="C164" s="111"/>
      <c r="D164" s="117"/>
      <c r="E164" s="117" t="s">
        <v>464</v>
      </c>
      <c r="F164" s="111"/>
      <c r="G164" s="118"/>
      <c r="H164" s="111"/>
      <c r="I164" s="111"/>
    </row>
    <row r="165" spans="1:9" ht="12.75">
      <c r="A165" s="111"/>
      <c r="B165" s="111"/>
      <c r="C165" s="111"/>
      <c r="D165" s="115"/>
      <c r="E165" s="115" t="s">
        <v>320</v>
      </c>
      <c r="F165" s="111"/>
      <c r="G165" s="116">
        <v>1754.797</v>
      </c>
      <c r="H165" s="111"/>
      <c r="I165" s="111"/>
    </row>
    <row r="166" spans="1:9" ht="12.75">
      <c r="A166" s="110">
        <v>74</v>
      </c>
      <c r="B166" s="110" t="s">
        <v>489</v>
      </c>
      <c r="C166" s="110" t="s">
        <v>493</v>
      </c>
      <c r="D166" s="111" t="s">
        <v>321</v>
      </c>
      <c r="E166" s="112" t="s">
        <v>322</v>
      </c>
      <c r="F166" s="110" t="s">
        <v>157</v>
      </c>
      <c r="G166" s="113">
        <v>159.527</v>
      </c>
      <c r="H166" s="114"/>
      <c r="I166" s="114">
        <f>ROUND(G166*H166,2)</f>
        <v>0</v>
      </c>
    </row>
    <row r="167" spans="1:9" ht="12.75">
      <c r="A167" s="110">
        <v>75</v>
      </c>
      <c r="B167" s="110" t="s">
        <v>489</v>
      </c>
      <c r="C167" s="110" t="s">
        <v>315</v>
      </c>
      <c r="D167" s="111" t="s">
        <v>316</v>
      </c>
      <c r="E167" s="112" t="s">
        <v>383</v>
      </c>
      <c r="F167" s="110" t="s">
        <v>157</v>
      </c>
      <c r="G167" s="113">
        <v>107.909</v>
      </c>
      <c r="H167" s="114"/>
      <c r="I167" s="114">
        <f>ROUND(G167*H167,2)</f>
        <v>0</v>
      </c>
    </row>
    <row r="168" spans="1:9" ht="12.75">
      <c r="A168" s="111"/>
      <c r="B168" s="111"/>
      <c r="C168" s="111"/>
      <c r="D168" s="117"/>
      <c r="E168" s="117" t="s">
        <v>578</v>
      </c>
      <c r="F168" s="111"/>
      <c r="G168" s="118"/>
      <c r="H168" s="111"/>
      <c r="I168" s="111"/>
    </row>
    <row r="169" spans="1:9" ht="12.75">
      <c r="A169" s="111"/>
      <c r="B169" s="111"/>
      <c r="C169" s="111"/>
      <c r="D169" s="115"/>
      <c r="E169" s="115" t="s">
        <v>323</v>
      </c>
      <c r="F169" s="111"/>
      <c r="G169" s="116">
        <v>107.909</v>
      </c>
      <c r="H169" s="111"/>
      <c r="I169" s="111"/>
    </row>
    <row r="170" spans="1:9" ht="12.75">
      <c r="A170" s="110">
        <v>76</v>
      </c>
      <c r="B170" s="110" t="s">
        <v>489</v>
      </c>
      <c r="C170" s="110" t="s">
        <v>315</v>
      </c>
      <c r="D170" s="111" t="s">
        <v>318</v>
      </c>
      <c r="E170" s="112" t="s">
        <v>319</v>
      </c>
      <c r="F170" s="110" t="s">
        <v>157</v>
      </c>
      <c r="G170" s="113">
        <v>2913.543</v>
      </c>
      <c r="H170" s="114"/>
      <c r="I170" s="114">
        <f>ROUND(G170*H170,2)</f>
        <v>0</v>
      </c>
    </row>
    <row r="171" spans="1:9" ht="12.75">
      <c r="A171" s="111"/>
      <c r="B171" s="111"/>
      <c r="C171" s="111"/>
      <c r="D171" s="115"/>
      <c r="E171" s="115" t="s">
        <v>324</v>
      </c>
      <c r="F171" s="111"/>
      <c r="G171" s="116">
        <v>2913.543</v>
      </c>
      <c r="H171" s="111"/>
      <c r="I171" s="111"/>
    </row>
    <row r="172" spans="1:9" ht="12.75">
      <c r="A172" s="110">
        <v>77</v>
      </c>
      <c r="B172" s="110" t="s">
        <v>489</v>
      </c>
      <c r="C172" s="110" t="s">
        <v>92</v>
      </c>
      <c r="D172" s="111" t="s">
        <v>155</v>
      </c>
      <c r="E172" s="112" t="s">
        <v>156</v>
      </c>
      <c r="F172" s="110" t="s">
        <v>157</v>
      </c>
      <c r="G172" s="113">
        <v>107.909</v>
      </c>
      <c r="H172" s="114"/>
      <c r="I172" s="114">
        <f>ROUND(G172*H172,2)</f>
        <v>0</v>
      </c>
    </row>
    <row r="173" spans="1:9" ht="12.75">
      <c r="A173" s="110">
        <v>78</v>
      </c>
      <c r="B173" s="110" t="s">
        <v>489</v>
      </c>
      <c r="C173" s="110" t="s">
        <v>295</v>
      </c>
      <c r="D173" s="111" t="s">
        <v>325</v>
      </c>
      <c r="E173" s="112" t="s">
        <v>380</v>
      </c>
      <c r="F173" s="110" t="s">
        <v>129</v>
      </c>
      <c r="G173" s="113">
        <v>196.39</v>
      </c>
      <c r="H173" s="114"/>
      <c r="I173" s="114">
        <f>ROUND(G173*H173,2)</f>
        <v>0</v>
      </c>
    </row>
    <row r="174" spans="1:9" ht="12.75">
      <c r="A174" s="111"/>
      <c r="B174" s="111"/>
      <c r="C174" s="111"/>
      <c r="D174" s="117"/>
      <c r="E174" s="117" t="s">
        <v>307</v>
      </c>
      <c r="F174" s="111"/>
      <c r="G174" s="118"/>
      <c r="H174" s="111"/>
      <c r="I174" s="111"/>
    </row>
    <row r="175" spans="1:9" ht="12.75">
      <c r="A175" s="111"/>
      <c r="B175" s="111"/>
      <c r="C175" s="111"/>
      <c r="D175" s="115"/>
      <c r="E175" s="115" t="s">
        <v>301</v>
      </c>
      <c r="F175" s="111"/>
      <c r="G175" s="116">
        <v>196.39</v>
      </c>
      <c r="H175" s="111"/>
      <c r="I175" s="111"/>
    </row>
    <row r="176" spans="1:9" ht="12.75">
      <c r="A176" s="110">
        <v>79</v>
      </c>
      <c r="B176" s="110" t="s">
        <v>489</v>
      </c>
      <c r="C176" s="110" t="s">
        <v>295</v>
      </c>
      <c r="D176" s="111" t="s">
        <v>326</v>
      </c>
      <c r="E176" s="112" t="s">
        <v>327</v>
      </c>
      <c r="F176" s="110" t="s">
        <v>129</v>
      </c>
      <c r="G176" s="113">
        <v>146.85</v>
      </c>
      <c r="H176" s="114"/>
      <c r="I176" s="114">
        <f>ROUND(G176*H176,2)</f>
        <v>0</v>
      </c>
    </row>
    <row r="177" spans="1:9" ht="12.75">
      <c r="A177" s="111"/>
      <c r="B177" s="111"/>
      <c r="C177" s="111"/>
      <c r="D177" s="117"/>
      <c r="E177" s="117" t="s">
        <v>341</v>
      </c>
      <c r="F177" s="111"/>
      <c r="G177" s="118"/>
      <c r="H177" s="111"/>
      <c r="I177" s="111"/>
    </row>
    <row r="178" spans="1:9" ht="12.75">
      <c r="A178" s="111"/>
      <c r="B178" s="111"/>
      <c r="C178" s="111"/>
      <c r="D178" s="115"/>
      <c r="E178" s="115" t="s">
        <v>328</v>
      </c>
      <c r="F178" s="111"/>
      <c r="G178" s="116">
        <v>146.85</v>
      </c>
      <c r="H178" s="111"/>
      <c r="I178" s="111"/>
    </row>
    <row r="179" spans="1:9" ht="12.75">
      <c r="A179" s="110">
        <v>80</v>
      </c>
      <c r="B179" s="110" t="s">
        <v>489</v>
      </c>
      <c r="C179" s="110" t="s">
        <v>295</v>
      </c>
      <c r="D179" s="111" t="s">
        <v>329</v>
      </c>
      <c r="E179" s="112" t="s">
        <v>330</v>
      </c>
      <c r="F179" s="110" t="s">
        <v>129</v>
      </c>
      <c r="G179" s="113">
        <v>146.85</v>
      </c>
      <c r="H179" s="114"/>
      <c r="I179" s="114">
        <f>ROUND(G179*H179,2)</f>
        <v>0</v>
      </c>
    </row>
    <row r="180" spans="1:9" ht="12.75">
      <c r="A180" s="111"/>
      <c r="B180" s="111"/>
      <c r="C180" s="111"/>
      <c r="D180" s="117"/>
      <c r="E180" s="117" t="s">
        <v>341</v>
      </c>
      <c r="F180" s="111"/>
      <c r="G180" s="118"/>
      <c r="H180" s="111"/>
      <c r="I180" s="111"/>
    </row>
    <row r="181" spans="1:9" ht="12.75">
      <c r="A181" s="111"/>
      <c r="B181" s="111"/>
      <c r="C181" s="111"/>
      <c r="D181" s="115"/>
      <c r="E181" s="115" t="s">
        <v>331</v>
      </c>
      <c r="F181" s="111"/>
      <c r="G181" s="116">
        <v>146.85</v>
      </c>
      <c r="H181" s="111"/>
      <c r="I181" s="111"/>
    </row>
    <row r="182" spans="1:9" ht="12.75">
      <c r="A182" s="110">
        <v>81</v>
      </c>
      <c r="B182" s="110" t="s">
        <v>489</v>
      </c>
      <c r="C182" s="110" t="s">
        <v>295</v>
      </c>
      <c r="D182" s="111" t="s">
        <v>332</v>
      </c>
      <c r="E182" s="112" t="s">
        <v>333</v>
      </c>
      <c r="F182" s="110" t="s">
        <v>129</v>
      </c>
      <c r="G182" s="113">
        <v>196.39</v>
      </c>
      <c r="H182" s="114"/>
      <c r="I182" s="114">
        <f>ROUND(G182*H182,2)</f>
        <v>0</v>
      </c>
    </row>
    <row r="183" spans="1:9" ht="12.75">
      <c r="A183" s="111"/>
      <c r="B183" s="111"/>
      <c r="C183" s="111"/>
      <c r="D183" s="117"/>
      <c r="E183" s="117" t="s">
        <v>307</v>
      </c>
      <c r="F183" s="111"/>
      <c r="G183" s="118"/>
      <c r="H183" s="111"/>
      <c r="I183" s="111"/>
    </row>
    <row r="184" spans="1:9" ht="12.75">
      <c r="A184" s="111"/>
      <c r="B184" s="111"/>
      <c r="C184" s="111"/>
      <c r="D184" s="115"/>
      <c r="E184" s="115" t="s">
        <v>301</v>
      </c>
      <c r="F184" s="111"/>
      <c r="G184" s="116">
        <v>196.39</v>
      </c>
      <c r="H184" s="111"/>
      <c r="I184" s="111"/>
    </row>
    <row r="185" spans="1:9" ht="22.5">
      <c r="A185" s="110">
        <v>82</v>
      </c>
      <c r="B185" s="110" t="s">
        <v>489</v>
      </c>
      <c r="C185" s="110" t="s">
        <v>295</v>
      </c>
      <c r="D185" s="111" t="s">
        <v>334</v>
      </c>
      <c r="E185" s="112" t="s">
        <v>335</v>
      </c>
      <c r="F185" s="110" t="s">
        <v>129</v>
      </c>
      <c r="G185" s="113">
        <v>196.39</v>
      </c>
      <c r="H185" s="114"/>
      <c r="I185" s="114">
        <f>ROUND(G185*H185,2)</f>
        <v>0</v>
      </c>
    </row>
    <row r="186" spans="1:9" ht="12.75">
      <c r="A186" s="111"/>
      <c r="B186" s="111"/>
      <c r="C186" s="111"/>
      <c r="D186" s="117"/>
      <c r="E186" s="117" t="s">
        <v>307</v>
      </c>
      <c r="F186" s="111"/>
      <c r="G186" s="118"/>
      <c r="H186" s="111"/>
      <c r="I186" s="111"/>
    </row>
    <row r="187" spans="1:9" ht="12.75">
      <c r="A187" s="111"/>
      <c r="B187" s="111"/>
      <c r="C187" s="111"/>
      <c r="D187" s="115"/>
      <c r="E187" s="115" t="s">
        <v>301</v>
      </c>
      <c r="F187" s="111"/>
      <c r="G187" s="116">
        <v>196.39</v>
      </c>
      <c r="H187" s="111"/>
      <c r="I187" s="111"/>
    </row>
    <row r="188" spans="1:9" ht="12.75">
      <c r="A188" s="110">
        <v>83</v>
      </c>
      <c r="B188" s="110" t="s">
        <v>489</v>
      </c>
      <c r="C188" s="110" t="s">
        <v>295</v>
      </c>
      <c r="D188" s="111" t="s">
        <v>336</v>
      </c>
      <c r="E188" s="112" t="s">
        <v>337</v>
      </c>
      <c r="F188" s="110" t="s">
        <v>129</v>
      </c>
      <c r="G188" s="113">
        <v>343.24</v>
      </c>
      <c r="H188" s="114"/>
      <c r="I188" s="114">
        <f>ROUND(G188*H188,2)</f>
        <v>0</v>
      </c>
    </row>
    <row r="189" spans="1:9" ht="12.75">
      <c r="A189" s="111"/>
      <c r="B189" s="111"/>
      <c r="C189" s="111"/>
      <c r="D189" s="115"/>
      <c r="E189" s="115" t="s">
        <v>338</v>
      </c>
      <c r="F189" s="111"/>
      <c r="G189" s="116">
        <v>343.24</v>
      </c>
      <c r="H189" s="111"/>
      <c r="I189" s="111"/>
    </row>
    <row r="190" spans="1:9" ht="22.5">
      <c r="A190" s="110">
        <v>84</v>
      </c>
      <c r="B190" s="110" t="s">
        <v>489</v>
      </c>
      <c r="C190" s="110" t="s">
        <v>295</v>
      </c>
      <c r="D190" s="111" t="s">
        <v>339</v>
      </c>
      <c r="E190" s="112" t="s">
        <v>340</v>
      </c>
      <c r="F190" s="110" t="s">
        <v>129</v>
      </c>
      <c r="G190" s="113">
        <v>146.85</v>
      </c>
      <c r="H190" s="114"/>
      <c r="I190" s="114">
        <f>ROUND(G190*H190,2)</f>
        <v>0</v>
      </c>
    </row>
    <row r="191" spans="1:9" ht="12.75">
      <c r="A191" s="111"/>
      <c r="B191" s="111"/>
      <c r="C191" s="111"/>
      <c r="D191" s="117"/>
      <c r="E191" s="117" t="s">
        <v>341</v>
      </c>
      <c r="F191" s="111"/>
      <c r="G191" s="118"/>
      <c r="H191" s="111"/>
      <c r="I191" s="111"/>
    </row>
    <row r="192" spans="1:9" ht="12.75">
      <c r="A192" s="111"/>
      <c r="B192" s="111"/>
      <c r="C192" s="111"/>
      <c r="D192" s="115"/>
      <c r="E192" s="115" t="s">
        <v>328</v>
      </c>
      <c r="F192" s="111"/>
      <c r="G192" s="116">
        <v>146.85</v>
      </c>
      <c r="H192" s="111"/>
      <c r="I192" s="111"/>
    </row>
    <row r="193" spans="1:9" ht="22.5">
      <c r="A193" s="110">
        <v>85</v>
      </c>
      <c r="B193" s="110" t="s">
        <v>489</v>
      </c>
      <c r="C193" s="110" t="s">
        <v>295</v>
      </c>
      <c r="D193" s="111" t="s">
        <v>342</v>
      </c>
      <c r="E193" s="112" t="s">
        <v>343</v>
      </c>
      <c r="F193" s="110" t="s">
        <v>129</v>
      </c>
      <c r="G193" s="113">
        <v>196.39</v>
      </c>
      <c r="H193" s="114"/>
      <c r="I193" s="114">
        <f>ROUND(G193*H193,2)</f>
        <v>0</v>
      </c>
    </row>
    <row r="194" spans="1:9" ht="12.75">
      <c r="A194" s="111"/>
      <c r="B194" s="111"/>
      <c r="C194" s="111"/>
      <c r="D194" s="117"/>
      <c r="E194" s="117" t="s">
        <v>307</v>
      </c>
      <c r="F194" s="111"/>
      <c r="G194" s="118"/>
      <c r="H194" s="111"/>
      <c r="I194" s="111"/>
    </row>
    <row r="195" spans="1:9" ht="12.75">
      <c r="A195" s="111"/>
      <c r="B195" s="111"/>
      <c r="C195" s="111"/>
      <c r="D195" s="115"/>
      <c r="E195" s="115" t="s">
        <v>301</v>
      </c>
      <c r="F195" s="111"/>
      <c r="G195" s="116">
        <v>196.39</v>
      </c>
      <c r="H195" s="111"/>
      <c r="I195" s="111"/>
    </row>
    <row r="196" spans="1:9" ht="22.5">
      <c r="A196" s="110">
        <v>86</v>
      </c>
      <c r="B196" s="110" t="s">
        <v>489</v>
      </c>
      <c r="C196" s="110" t="s">
        <v>295</v>
      </c>
      <c r="D196" s="111" t="s">
        <v>344</v>
      </c>
      <c r="E196" s="112" t="s">
        <v>345</v>
      </c>
      <c r="F196" s="110" t="s">
        <v>129</v>
      </c>
      <c r="G196" s="113">
        <v>146.85</v>
      </c>
      <c r="H196" s="114"/>
      <c r="I196" s="114">
        <f>ROUND(G196*H196,2)</f>
        <v>0</v>
      </c>
    </row>
    <row r="197" spans="1:9" ht="12.75">
      <c r="A197" s="111"/>
      <c r="B197" s="111"/>
      <c r="C197" s="111"/>
      <c r="D197" s="117"/>
      <c r="E197" s="117" t="s">
        <v>341</v>
      </c>
      <c r="F197" s="111"/>
      <c r="G197" s="118"/>
      <c r="H197" s="111"/>
      <c r="I197" s="111"/>
    </row>
    <row r="198" spans="1:9" ht="12.75">
      <c r="A198" s="111"/>
      <c r="B198" s="111"/>
      <c r="C198" s="111"/>
      <c r="D198" s="115"/>
      <c r="E198" s="115" t="s">
        <v>328</v>
      </c>
      <c r="F198" s="111"/>
      <c r="G198" s="116">
        <v>146.85</v>
      </c>
      <c r="H198" s="111"/>
      <c r="I198" s="111"/>
    </row>
    <row r="199" spans="1:9" ht="22.5">
      <c r="A199" s="110">
        <v>87</v>
      </c>
      <c r="B199" s="110" t="s">
        <v>489</v>
      </c>
      <c r="C199" s="110" t="s">
        <v>295</v>
      </c>
      <c r="D199" s="111" t="s">
        <v>346</v>
      </c>
      <c r="E199" s="112" t="s">
        <v>347</v>
      </c>
      <c r="F199" s="110" t="s">
        <v>129</v>
      </c>
      <c r="G199" s="113">
        <v>196.39</v>
      </c>
      <c r="H199" s="114"/>
      <c r="I199" s="114">
        <f>ROUND(G199*H199,2)</f>
        <v>0</v>
      </c>
    </row>
    <row r="200" spans="1:9" ht="12.75">
      <c r="A200" s="111"/>
      <c r="B200" s="111"/>
      <c r="C200" s="111"/>
      <c r="D200" s="117"/>
      <c r="E200" s="117" t="s">
        <v>307</v>
      </c>
      <c r="F200" s="111"/>
      <c r="G200" s="118"/>
      <c r="H200" s="111"/>
      <c r="I200" s="111"/>
    </row>
    <row r="201" spans="1:9" ht="12.75">
      <c r="A201" s="111"/>
      <c r="B201" s="111"/>
      <c r="C201" s="111"/>
      <c r="D201" s="115"/>
      <c r="E201" s="115" t="s">
        <v>301</v>
      </c>
      <c r="F201" s="111"/>
      <c r="G201" s="116">
        <v>196.39</v>
      </c>
      <c r="H201" s="111"/>
      <c r="I201" s="111"/>
    </row>
    <row r="202" spans="1:9" ht="22.5">
      <c r="A202" s="110">
        <v>88</v>
      </c>
      <c r="B202" s="110" t="s">
        <v>489</v>
      </c>
      <c r="C202" s="110" t="s">
        <v>295</v>
      </c>
      <c r="D202" s="111" t="s">
        <v>348</v>
      </c>
      <c r="E202" s="112" t="s">
        <v>349</v>
      </c>
      <c r="F202" s="110" t="s">
        <v>75</v>
      </c>
      <c r="G202" s="113">
        <v>486</v>
      </c>
      <c r="H202" s="114"/>
      <c r="I202" s="114">
        <f>ROUND(G202*H202,2)</f>
        <v>0</v>
      </c>
    </row>
    <row r="203" spans="1:9" ht="12.75">
      <c r="A203" s="110">
        <v>89</v>
      </c>
      <c r="B203" s="110" t="s">
        <v>489</v>
      </c>
      <c r="C203" s="110" t="s">
        <v>295</v>
      </c>
      <c r="D203" s="111" t="s">
        <v>350</v>
      </c>
      <c r="E203" s="112" t="s">
        <v>351</v>
      </c>
      <c r="F203" s="110" t="s">
        <v>129</v>
      </c>
      <c r="G203" s="113">
        <v>507.5</v>
      </c>
      <c r="H203" s="114"/>
      <c r="I203" s="114">
        <f>ROUND(G203*H203,2)</f>
        <v>0</v>
      </c>
    </row>
    <row r="204" spans="1:9" ht="12.75">
      <c r="A204" s="111"/>
      <c r="B204" s="111"/>
      <c r="C204" s="111"/>
      <c r="D204" s="117"/>
      <c r="E204" s="117" t="s">
        <v>579</v>
      </c>
      <c r="F204" s="111"/>
      <c r="G204" s="118"/>
      <c r="H204" s="111"/>
      <c r="I204" s="111"/>
    </row>
    <row r="205" spans="1:9" ht="12.75">
      <c r="A205" s="111"/>
      <c r="B205" s="111"/>
      <c r="C205" s="111"/>
      <c r="D205" s="115"/>
      <c r="E205" s="115" t="s">
        <v>352</v>
      </c>
      <c r="F205" s="111"/>
      <c r="G205" s="116">
        <v>507.5</v>
      </c>
      <c r="H205" s="111"/>
      <c r="I205" s="111"/>
    </row>
    <row r="206" spans="1:9" ht="12.75">
      <c r="A206" s="110">
        <v>90</v>
      </c>
      <c r="B206" s="110" t="s">
        <v>489</v>
      </c>
      <c r="C206" s="110" t="s">
        <v>295</v>
      </c>
      <c r="D206" s="111" t="s">
        <v>336</v>
      </c>
      <c r="E206" s="112" t="s">
        <v>337</v>
      </c>
      <c r="F206" s="110" t="s">
        <v>129</v>
      </c>
      <c r="G206" s="113">
        <v>507.5</v>
      </c>
      <c r="H206" s="114"/>
      <c r="I206" s="114">
        <f>ROUND(G206*H206,2)</f>
        <v>0</v>
      </c>
    </row>
    <row r="207" spans="1:9" ht="22.5">
      <c r="A207" s="110">
        <v>91</v>
      </c>
      <c r="B207" s="110" t="s">
        <v>489</v>
      </c>
      <c r="C207" s="110" t="s">
        <v>295</v>
      </c>
      <c r="D207" s="111" t="s">
        <v>353</v>
      </c>
      <c r="E207" s="112" t="s">
        <v>354</v>
      </c>
      <c r="F207" s="110" t="s">
        <v>129</v>
      </c>
      <c r="G207" s="113">
        <v>507.5</v>
      </c>
      <c r="H207" s="114"/>
      <c r="I207" s="114">
        <f>ROUND(G207*H207,2)</f>
        <v>0</v>
      </c>
    </row>
    <row r="208" spans="1:9" ht="22.5">
      <c r="A208" s="110">
        <v>92</v>
      </c>
      <c r="B208" s="110" t="s">
        <v>489</v>
      </c>
      <c r="C208" s="110" t="s">
        <v>295</v>
      </c>
      <c r="D208" s="111" t="s">
        <v>348</v>
      </c>
      <c r="E208" s="112" t="s">
        <v>349</v>
      </c>
      <c r="F208" s="110" t="s">
        <v>75</v>
      </c>
      <c r="G208" s="113">
        <v>135</v>
      </c>
      <c r="H208" s="114"/>
      <c r="I208" s="114">
        <f>ROUND(G208*H208,2)</f>
        <v>0</v>
      </c>
    </row>
    <row r="209" spans="1:9" ht="12.75">
      <c r="A209" s="106"/>
      <c r="B209" s="107" t="s">
        <v>488</v>
      </c>
      <c r="C209" s="106"/>
      <c r="D209" s="108" t="s">
        <v>257</v>
      </c>
      <c r="E209" s="108" t="s">
        <v>258</v>
      </c>
      <c r="F209" s="106"/>
      <c r="G209" s="106"/>
      <c r="H209" s="106"/>
      <c r="I209" s="109">
        <f>I210</f>
        <v>0</v>
      </c>
    </row>
    <row r="210" spans="1:9" ht="12.75">
      <c r="A210" s="106"/>
      <c r="B210" s="125" t="s">
        <v>488</v>
      </c>
      <c r="C210" s="106"/>
      <c r="D210" s="126" t="s">
        <v>259</v>
      </c>
      <c r="E210" s="126" t="s">
        <v>260</v>
      </c>
      <c r="F210" s="106"/>
      <c r="G210" s="106"/>
      <c r="H210" s="106"/>
      <c r="I210" s="127">
        <f>SUM(I211:I216)</f>
        <v>0</v>
      </c>
    </row>
    <row r="211" spans="1:9" ht="12.75">
      <c r="A211" s="110">
        <v>93</v>
      </c>
      <c r="B211" s="110" t="s">
        <v>489</v>
      </c>
      <c r="C211" s="110" t="s">
        <v>92</v>
      </c>
      <c r="D211" s="111" t="s">
        <v>355</v>
      </c>
      <c r="E211" s="112" t="s">
        <v>356</v>
      </c>
      <c r="F211" s="110" t="s">
        <v>75</v>
      </c>
      <c r="G211" s="113">
        <v>11</v>
      </c>
      <c r="H211" s="114"/>
      <c r="I211" s="114">
        <f aca="true" t="shared" si="2" ref="I211:I216">ROUND(G211*H211,2)</f>
        <v>0</v>
      </c>
    </row>
    <row r="212" spans="1:9" ht="12.75">
      <c r="A212" s="110">
        <v>94</v>
      </c>
      <c r="B212" s="110" t="s">
        <v>489</v>
      </c>
      <c r="C212" s="110" t="s">
        <v>92</v>
      </c>
      <c r="D212" s="111" t="s">
        <v>357</v>
      </c>
      <c r="E212" s="112" t="s">
        <v>358</v>
      </c>
      <c r="F212" s="110" t="s">
        <v>75</v>
      </c>
      <c r="G212" s="113">
        <v>1</v>
      </c>
      <c r="H212" s="114"/>
      <c r="I212" s="114">
        <f t="shared" si="2"/>
        <v>0</v>
      </c>
    </row>
    <row r="213" spans="1:9" ht="12.75">
      <c r="A213" s="110">
        <v>95</v>
      </c>
      <c r="B213" s="110" t="s">
        <v>489</v>
      </c>
      <c r="C213" s="110" t="s">
        <v>92</v>
      </c>
      <c r="D213" s="111" t="s">
        <v>359</v>
      </c>
      <c r="E213" s="112" t="s">
        <v>360</v>
      </c>
      <c r="F213" s="110" t="s">
        <v>75</v>
      </c>
      <c r="G213" s="113">
        <v>1</v>
      </c>
      <c r="H213" s="114"/>
      <c r="I213" s="114">
        <f t="shared" si="2"/>
        <v>0</v>
      </c>
    </row>
    <row r="214" spans="1:9" ht="12.75">
      <c r="A214" s="110">
        <v>96</v>
      </c>
      <c r="B214" s="110" t="s">
        <v>489</v>
      </c>
      <c r="C214" s="110" t="s">
        <v>92</v>
      </c>
      <c r="D214" s="111" t="s">
        <v>261</v>
      </c>
      <c r="E214" s="112" t="s">
        <v>262</v>
      </c>
      <c r="F214" s="110" t="s">
        <v>75</v>
      </c>
      <c r="G214" s="113">
        <v>2</v>
      </c>
      <c r="H214" s="114"/>
      <c r="I214" s="114">
        <f t="shared" si="2"/>
        <v>0</v>
      </c>
    </row>
    <row r="215" spans="1:9" ht="12.75">
      <c r="A215" s="110">
        <v>97</v>
      </c>
      <c r="B215" s="110" t="s">
        <v>489</v>
      </c>
      <c r="C215" s="110" t="s">
        <v>493</v>
      </c>
      <c r="D215" s="111" t="s">
        <v>263</v>
      </c>
      <c r="E215" s="140" t="s">
        <v>751</v>
      </c>
      <c r="F215" s="110" t="s">
        <v>75</v>
      </c>
      <c r="G215" s="113">
        <v>16</v>
      </c>
      <c r="H215" s="114"/>
      <c r="I215" s="114">
        <f t="shared" si="2"/>
        <v>0</v>
      </c>
    </row>
    <row r="216" spans="1:9" ht="12.75">
      <c r="A216" s="110">
        <v>98</v>
      </c>
      <c r="B216" s="110" t="s">
        <v>489</v>
      </c>
      <c r="C216" s="110" t="s">
        <v>175</v>
      </c>
      <c r="D216" s="111" t="s">
        <v>269</v>
      </c>
      <c r="E216" s="112" t="s">
        <v>361</v>
      </c>
      <c r="F216" s="110" t="s">
        <v>157</v>
      </c>
      <c r="G216" s="113">
        <v>309.157</v>
      </c>
      <c r="H216" s="114"/>
      <c r="I216" s="114">
        <f t="shared" si="2"/>
        <v>0</v>
      </c>
    </row>
    <row r="217" spans="1:9" ht="12.75">
      <c r="A217" s="128"/>
      <c r="B217" s="128"/>
      <c r="C217" s="128"/>
      <c r="D217" s="128"/>
      <c r="E217" s="129" t="s">
        <v>270</v>
      </c>
      <c r="F217" s="128"/>
      <c r="G217" s="128"/>
      <c r="H217" s="128"/>
      <c r="I217" s="130">
        <f>I14</f>
        <v>0</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I272"/>
  <sheetViews>
    <sheetView zoomScalePageLayoutView="0" workbookViewId="0" topLeftCell="A28">
      <selection activeCell="C9" sqref="C9:D9"/>
    </sheetView>
  </sheetViews>
  <sheetFormatPr defaultColWidth="9.00390625" defaultRowHeight="12.75"/>
  <cols>
    <col min="1" max="1" width="5.625" style="131" customWidth="1"/>
    <col min="2" max="2" width="4.375" style="131" customWidth="1"/>
    <col min="3" max="3" width="4.75390625" style="131" customWidth="1"/>
    <col min="4" max="4" width="12.75390625" style="131" customWidth="1"/>
    <col min="5" max="5" width="55.625" style="131" customWidth="1"/>
    <col min="6" max="6" width="4.75390625" style="131" customWidth="1"/>
    <col min="7" max="7" width="9.875" style="131" customWidth="1"/>
    <col min="8" max="8" width="9.75390625" style="131" customWidth="1"/>
    <col min="9" max="9" width="13.625" style="131" customWidth="1"/>
  </cols>
  <sheetData>
    <row r="1" spans="1:9" ht="18">
      <c r="A1" s="95" t="s">
        <v>478</v>
      </c>
      <c r="B1" s="96"/>
      <c r="C1" s="96"/>
      <c r="D1" s="96"/>
      <c r="E1" s="96"/>
      <c r="F1" s="96"/>
      <c r="G1" s="96"/>
      <c r="H1" s="96"/>
      <c r="I1" s="96"/>
    </row>
    <row r="2" spans="1:9" ht="12.75">
      <c r="A2" s="97" t="s">
        <v>479</v>
      </c>
      <c r="B2" s="98"/>
      <c r="C2" s="98" t="str">
        <f>'[14]Krycí list'!E5</f>
        <v>Kolešovice kanalizace</v>
      </c>
      <c r="D2" s="98"/>
      <c r="E2" s="98"/>
      <c r="F2" s="98"/>
      <c r="G2" s="98"/>
      <c r="H2" s="98"/>
      <c r="I2" s="98"/>
    </row>
    <row r="3" spans="1:9" ht="12.75">
      <c r="A3" s="97" t="s">
        <v>480</v>
      </c>
      <c r="B3" s="98"/>
      <c r="C3" s="98" t="str">
        <f>'[14]Krycí list'!E7</f>
        <v>stoka A</v>
      </c>
      <c r="D3" s="98"/>
      <c r="E3" s="98"/>
      <c r="F3" s="98"/>
      <c r="G3" s="98"/>
      <c r="H3" s="98"/>
      <c r="I3" s="98"/>
    </row>
    <row r="4" spans="1:9" ht="12.75">
      <c r="A4" s="97" t="s">
        <v>481</v>
      </c>
      <c r="B4" s="98"/>
      <c r="C4" s="98" t="str">
        <f>'[14]Krycí list'!E9</f>
        <v> </v>
      </c>
      <c r="D4" s="98"/>
      <c r="E4" s="98"/>
      <c r="F4" s="98"/>
      <c r="G4" s="98"/>
      <c r="H4" s="98"/>
      <c r="I4" s="98"/>
    </row>
    <row r="5" spans="1:9" ht="12.75">
      <c r="A5" s="98" t="s">
        <v>482</v>
      </c>
      <c r="B5" s="98"/>
      <c r="C5" s="98" t="str">
        <f>'[14]Krycí list'!P5</f>
        <v> </v>
      </c>
      <c r="D5" s="98"/>
      <c r="E5" s="98"/>
      <c r="F5" s="98"/>
      <c r="G5" s="98"/>
      <c r="H5" s="98"/>
      <c r="I5" s="98"/>
    </row>
    <row r="6" spans="1:9" ht="12.75">
      <c r="A6" s="98"/>
      <c r="B6" s="98"/>
      <c r="C6" s="98"/>
      <c r="D6" s="98"/>
      <c r="E6" s="98"/>
      <c r="F6" s="98"/>
      <c r="G6" s="98"/>
      <c r="H6" s="98"/>
      <c r="I6" s="98"/>
    </row>
    <row r="7" spans="1:9" ht="12.75">
      <c r="A7" s="98" t="s">
        <v>483</v>
      </c>
      <c r="B7" s="98"/>
      <c r="C7" s="98" t="str">
        <f>'[14]Krycí list'!E26</f>
        <v> </v>
      </c>
      <c r="D7" s="98"/>
      <c r="E7" s="98"/>
      <c r="F7" s="98"/>
      <c r="G7" s="98"/>
      <c r="H7" s="98"/>
      <c r="I7" s="98"/>
    </row>
    <row r="8" spans="1:9" ht="12.75">
      <c r="A8" s="98" t="s">
        <v>484</v>
      </c>
      <c r="B8" s="98"/>
      <c r="C8" s="98" t="str">
        <f>'[14]Krycí list'!E28</f>
        <v> </v>
      </c>
      <c r="D8" s="98"/>
      <c r="E8" s="98"/>
      <c r="F8" s="98"/>
      <c r="G8" s="98"/>
      <c r="H8" s="98"/>
      <c r="I8" s="98"/>
    </row>
    <row r="9" spans="1:9" ht="12.75">
      <c r="A9" s="98" t="s">
        <v>485</v>
      </c>
      <c r="B9" s="98"/>
      <c r="C9" s="98"/>
      <c r="D9" s="98"/>
      <c r="E9" s="98"/>
      <c r="F9" s="98"/>
      <c r="G9" s="98"/>
      <c r="H9" s="98"/>
      <c r="I9" s="98"/>
    </row>
    <row r="10" spans="1:9" ht="12.75">
      <c r="A10" s="96"/>
      <c r="B10" s="96"/>
      <c r="C10" s="96"/>
      <c r="D10" s="96"/>
      <c r="E10" s="96"/>
      <c r="F10" s="96"/>
      <c r="G10" s="96"/>
      <c r="H10" s="96"/>
      <c r="I10" s="96"/>
    </row>
    <row r="11" spans="1:9" ht="22.5">
      <c r="A11" s="99" t="s">
        <v>79</v>
      </c>
      <c r="B11" s="100" t="s">
        <v>487</v>
      </c>
      <c r="C11" s="100" t="s">
        <v>80</v>
      </c>
      <c r="D11" s="100" t="s">
        <v>81</v>
      </c>
      <c r="E11" s="100" t="s">
        <v>82</v>
      </c>
      <c r="F11" s="100" t="s">
        <v>2</v>
      </c>
      <c r="G11" s="100" t="s">
        <v>83</v>
      </c>
      <c r="H11" s="100" t="s">
        <v>84</v>
      </c>
      <c r="I11" s="100" t="s">
        <v>18</v>
      </c>
    </row>
    <row r="12" spans="1:9" ht="12.75">
      <c r="A12" s="101">
        <v>1</v>
      </c>
      <c r="B12" s="102">
        <v>2</v>
      </c>
      <c r="C12" s="102">
        <v>3</v>
      </c>
      <c r="D12" s="102">
        <v>4</v>
      </c>
      <c r="E12" s="102">
        <v>5</v>
      </c>
      <c r="F12" s="102">
        <v>6</v>
      </c>
      <c r="G12" s="102">
        <v>7</v>
      </c>
      <c r="H12" s="102">
        <v>8</v>
      </c>
      <c r="I12" s="102">
        <v>9</v>
      </c>
    </row>
    <row r="13" spans="1:9" ht="12.75">
      <c r="A13" s="96"/>
      <c r="B13" s="96"/>
      <c r="C13" s="96"/>
      <c r="D13" s="96"/>
      <c r="E13" s="96"/>
      <c r="F13" s="96"/>
      <c r="G13" s="96"/>
      <c r="H13" s="96"/>
      <c r="I13" s="96"/>
    </row>
    <row r="14" spans="1:9" ht="12.75">
      <c r="A14" s="103"/>
      <c r="B14" s="104" t="s">
        <v>488</v>
      </c>
      <c r="C14" s="103"/>
      <c r="D14" s="103" t="s">
        <v>14</v>
      </c>
      <c r="E14" s="103" t="s">
        <v>91</v>
      </c>
      <c r="F14" s="103"/>
      <c r="G14" s="103"/>
      <c r="H14" s="103"/>
      <c r="I14" s="105">
        <f>I15+I124+I126+I132+I240+I263</f>
        <v>0</v>
      </c>
    </row>
    <row r="15" spans="1:9" ht="12.75">
      <c r="A15" s="106"/>
      <c r="B15" s="107" t="s">
        <v>488</v>
      </c>
      <c r="C15" s="106"/>
      <c r="D15" s="108" t="s">
        <v>24</v>
      </c>
      <c r="E15" s="108" t="s">
        <v>17</v>
      </c>
      <c r="F15" s="106"/>
      <c r="G15" s="106"/>
      <c r="H15" s="106"/>
      <c r="I15" s="109">
        <f>SUM(I16:I123)</f>
        <v>0</v>
      </c>
    </row>
    <row r="16" spans="1:9" ht="12.75">
      <c r="A16" s="110" t="s">
        <v>24</v>
      </c>
      <c r="B16" s="110" t="s">
        <v>489</v>
      </c>
      <c r="C16" s="110" t="s">
        <v>92</v>
      </c>
      <c r="D16" s="111" t="s">
        <v>99</v>
      </c>
      <c r="E16" s="112" t="s">
        <v>100</v>
      </c>
      <c r="F16" s="110" t="s">
        <v>75</v>
      </c>
      <c r="G16" s="113">
        <v>50</v>
      </c>
      <c r="H16" s="114"/>
      <c r="I16" s="114">
        <f>ROUND(G16*H16,2)</f>
        <v>0</v>
      </c>
    </row>
    <row r="17" spans="1:9" ht="12.75">
      <c r="A17" s="110" t="s">
        <v>36</v>
      </c>
      <c r="B17" s="110" t="s">
        <v>489</v>
      </c>
      <c r="C17" s="110" t="s">
        <v>92</v>
      </c>
      <c r="D17" s="111" t="s">
        <v>93</v>
      </c>
      <c r="E17" s="112" t="s">
        <v>94</v>
      </c>
      <c r="F17" s="110" t="s">
        <v>95</v>
      </c>
      <c r="G17" s="113">
        <v>300</v>
      </c>
      <c r="H17" s="114"/>
      <c r="I17" s="114">
        <f>ROUND(G17*H17,2)</f>
        <v>0</v>
      </c>
    </row>
    <row r="18" spans="1:9" ht="12.75">
      <c r="A18" s="110" t="s">
        <v>85</v>
      </c>
      <c r="B18" s="110" t="s">
        <v>489</v>
      </c>
      <c r="C18" s="110" t="s">
        <v>92</v>
      </c>
      <c r="D18" s="111" t="s">
        <v>96</v>
      </c>
      <c r="E18" s="112" t="s">
        <v>97</v>
      </c>
      <c r="F18" s="110" t="s">
        <v>98</v>
      </c>
      <c r="G18" s="113">
        <v>30</v>
      </c>
      <c r="H18" s="114"/>
      <c r="I18" s="114">
        <f>ROUND(G18*H18,2)</f>
        <v>0</v>
      </c>
    </row>
    <row r="19" spans="1:9" ht="12.75">
      <c r="A19" s="110" t="s">
        <v>86</v>
      </c>
      <c r="B19" s="110" t="s">
        <v>489</v>
      </c>
      <c r="C19" s="110" t="s">
        <v>92</v>
      </c>
      <c r="D19" s="111" t="s">
        <v>101</v>
      </c>
      <c r="E19" s="112" t="s">
        <v>102</v>
      </c>
      <c r="F19" s="110" t="s">
        <v>103</v>
      </c>
      <c r="G19" s="113">
        <f>G20</f>
        <v>205.11</v>
      </c>
      <c r="H19" s="114"/>
      <c r="I19" s="114">
        <f>ROUND(G19*H19,2)</f>
        <v>0</v>
      </c>
    </row>
    <row r="20" spans="1:9" ht="12.75">
      <c r="A20" s="111"/>
      <c r="B20" s="111"/>
      <c r="C20" s="111"/>
      <c r="D20" s="115"/>
      <c r="E20" s="115" t="s">
        <v>672</v>
      </c>
      <c r="F20" s="111"/>
      <c r="G20" s="116">
        <f>43*3*1.59</f>
        <v>205.11</v>
      </c>
      <c r="H20" s="111"/>
      <c r="I20" s="111"/>
    </row>
    <row r="21" spans="1:9" ht="12.75">
      <c r="A21" s="110" t="s">
        <v>87</v>
      </c>
      <c r="B21" s="110" t="s">
        <v>489</v>
      </c>
      <c r="C21" s="110" t="s">
        <v>92</v>
      </c>
      <c r="D21" s="111" t="s">
        <v>104</v>
      </c>
      <c r="E21" s="112" t="s">
        <v>105</v>
      </c>
      <c r="F21" s="110" t="s">
        <v>103</v>
      </c>
      <c r="G21" s="113">
        <f>G23+G25+G27</f>
        <v>87.12</v>
      </c>
      <c r="H21" s="114"/>
      <c r="I21" s="114">
        <f>ROUND(G21*H21,2)</f>
        <v>0</v>
      </c>
    </row>
    <row r="22" spans="1:9" ht="12.75">
      <c r="A22" s="111"/>
      <c r="B22" s="111"/>
      <c r="C22" s="111"/>
      <c r="D22" s="117"/>
      <c r="E22" s="117" t="s">
        <v>584</v>
      </c>
      <c r="F22" s="111"/>
      <c r="G22" s="118"/>
      <c r="H22" s="111"/>
      <c r="I22" s="111"/>
    </row>
    <row r="23" spans="1:9" ht="12.75">
      <c r="A23" s="111"/>
      <c r="B23" s="111"/>
      <c r="C23" s="111"/>
      <c r="D23" s="115"/>
      <c r="E23" s="115" t="s">
        <v>673</v>
      </c>
      <c r="F23" s="111"/>
      <c r="G23" s="116">
        <f>123.1*2*0.2</f>
        <v>49.24</v>
      </c>
      <c r="H23" s="111"/>
      <c r="I23" s="111"/>
    </row>
    <row r="24" spans="1:9" ht="12.75">
      <c r="A24" s="111"/>
      <c r="B24" s="111"/>
      <c r="C24" s="111"/>
      <c r="D24" s="117"/>
      <c r="E24" s="117" t="s">
        <v>585</v>
      </c>
      <c r="F24" s="111"/>
      <c r="G24" s="119"/>
      <c r="H24" s="111"/>
      <c r="I24" s="111"/>
    </row>
    <row r="25" spans="1:9" ht="12.75">
      <c r="A25" s="111"/>
      <c r="B25" s="111"/>
      <c r="C25" s="111"/>
      <c r="D25" s="115"/>
      <c r="E25" s="115" t="s">
        <v>674</v>
      </c>
      <c r="F25" s="111"/>
      <c r="G25" s="116">
        <f>57.8*2*0.2</f>
        <v>23.12</v>
      </c>
      <c r="H25" s="111"/>
      <c r="I25" s="111"/>
    </row>
    <row r="26" spans="1:9" ht="12.75">
      <c r="A26" s="111"/>
      <c r="B26" s="111"/>
      <c r="C26" s="111"/>
      <c r="D26" s="117"/>
      <c r="E26" s="117" t="s">
        <v>586</v>
      </c>
      <c r="F26" s="111"/>
      <c r="G26" s="119"/>
      <c r="H26" s="111"/>
      <c r="I26" s="111"/>
    </row>
    <row r="27" spans="1:9" ht="12.75">
      <c r="A27" s="111"/>
      <c r="B27" s="111"/>
      <c r="C27" s="111"/>
      <c r="D27" s="115"/>
      <c r="E27" s="115" t="s">
        <v>675</v>
      </c>
      <c r="F27" s="111"/>
      <c r="G27" s="116">
        <f>36.9*2*0.2</f>
        <v>14.76</v>
      </c>
      <c r="H27" s="111"/>
      <c r="I27" s="111"/>
    </row>
    <row r="28" spans="1:9" ht="12.75">
      <c r="A28" s="110" t="s">
        <v>88</v>
      </c>
      <c r="B28" s="110" t="s">
        <v>489</v>
      </c>
      <c r="C28" s="110" t="s">
        <v>92</v>
      </c>
      <c r="D28" s="111" t="s">
        <v>113</v>
      </c>
      <c r="E28" s="112" t="s">
        <v>114</v>
      </c>
      <c r="F28" s="110" t="s">
        <v>103</v>
      </c>
      <c r="G28" s="113">
        <f>SUM(G30:G56)</f>
        <v>2767.793</v>
      </c>
      <c r="H28" s="114"/>
      <c r="I28" s="114">
        <f>ROUND(G28*H28,2)</f>
        <v>0</v>
      </c>
    </row>
    <row r="29" spans="1:9" ht="12.75">
      <c r="A29" s="111"/>
      <c r="B29" s="111"/>
      <c r="C29" s="111"/>
      <c r="D29" s="117"/>
      <c r="E29" s="117" t="s">
        <v>57</v>
      </c>
      <c r="F29" s="111"/>
      <c r="G29" s="118"/>
      <c r="H29" s="111"/>
      <c r="I29" s="111"/>
    </row>
    <row r="30" spans="1:9" ht="12.75">
      <c r="A30" s="111"/>
      <c r="B30" s="111"/>
      <c r="C30" s="111"/>
      <c r="D30" s="115"/>
      <c r="E30" s="115" t="s">
        <v>676</v>
      </c>
      <c r="F30" s="111"/>
      <c r="G30" s="116">
        <f>(21.2*1*2.1+29.5*1*2.53+50*1*2.56+49.5*1*2.38+12.8*1*2.64+19.6*1*2.57+15.8*1*2.32+33.8*1*2.33+49.4*1*2.64+15.4*1*2.65+38.4*1*2.55+34.9*1*3.1)*0.8</f>
        <v>753.5</v>
      </c>
      <c r="H30" s="111"/>
      <c r="I30" s="111"/>
    </row>
    <row r="31" spans="1:9" ht="12.75">
      <c r="A31" s="111"/>
      <c r="B31" s="111"/>
      <c r="C31" s="111"/>
      <c r="D31" s="115"/>
      <c r="E31" s="115" t="s">
        <v>677</v>
      </c>
      <c r="F31" s="111"/>
      <c r="G31" s="116">
        <f>(42.8*1*3.3+23.6*1*2.8+18.8+1*2.59+15.9*1*2.44+30.9*1*2.38+39.5*1*2.53+32*1*2.65+30.2*1*2.84+30*1*2.89+34.9*1*2.66+50*1*2.72+50*1*2.77)*0.8</f>
        <v>852.468</v>
      </c>
      <c r="H31" s="111"/>
      <c r="I31" s="111"/>
    </row>
    <row r="32" spans="1:9" ht="12.75">
      <c r="A32" s="111"/>
      <c r="B32" s="111"/>
      <c r="C32" s="111"/>
      <c r="D32" s="115"/>
      <c r="E32" s="115" t="s">
        <v>678</v>
      </c>
      <c r="F32" s="111"/>
      <c r="G32" s="116">
        <f>(50*1*2.5+34.2*12.44)*0.8</f>
        <v>440.358</v>
      </c>
      <c r="H32" s="111"/>
      <c r="I32" s="111"/>
    </row>
    <row r="33" spans="1:9" ht="12.75">
      <c r="A33" s="111"/>
      <c r="B33" s="111"/>
      <c r="C33" s="111"/>
      <c r="D33" s="117"/>
      <c r="E33" s="117" t="s">
        <v>587</v>
      </c>
      <c r="F33" s="111"/>
      <c r="G33" s="119"/>
      <c r="H33" s="111"/>
      <c r="I33" s="111"/>
    </row>
    <row r="34" spans="1:9" ht="12.75">
      <c r="A34" s="111"/>
      <c r="B34" s="111"/>
      <c r="C34" s="111"/>
      <c r="D34" s="115"/>
      <c r="E34" s="115" t="s">
        <v>679</v>
      </c>
      <c r="F34" s="111"/>
      <c r="G34" s="116">
        <f>40*1*2.29*0.8</f>
        <v>73.28</v>
      </c>
      <c r="H34" s="111"/>
      <c r="I34" s="111"/>
    </row>
    <row r="35" spans="1:9" ht="12.75">
      <c r="A35" s="111"/>
      <c r="B35" s="111"/>
      <c r="C35" s="111"/>
      <c r="D35" s="117"/>
      <c r="E35" s="117" t="s">
        <v>588</v>
      </c>
      <c r="F35" s="111"/>
      <c r="G35" s="119"/>
      <c r="H35" s="111"/>
      <c r="I35" s="111"/>
    </row>
    <row r="36" spans="1:9" ht="12.75">
      <c r="A36" s="111"/>
      <c r="B36" s="111"/>
      <c r="C36" s="111"/>
      <c r="D36" s="115"/>
      <c r="E36" s="115" t="s">
        <v>680</v>
      </c>
      <c r="F36" s="111"/>
      <c r="G36" s="116">
        <f>(28.9*1*2.65+32.4*1*2.67)*0.8</f>
        <v>130.474</v>
      </c>
      <c r="H36" s="111"/>
      <c r="I36" s="111"/>
    </row>
    <row r="37" spans="1:9" ht="12.75">
      <c r="A37" s="111"/>
      <c r="B37" s="111"/>
      <c r="C37" s="111"/>
      <c r="D37" s="117"/>
      <c r="E37" s="117" t="s">
        <v>589</v>
      </c>
      <c r="F37" s="111"/>
      <c r="G37" s="119"/>
      <c r="H37" s="111"/>
      <c r="I37" s="111"/>
    </row>
    <row r="38" spans="1:9" ht="12.75">
      <c r="A38" s="111"/>
      <c r="B38" s="111"/>
      <c r="C38" s="111"/>
      <c r="D38" s="115"/>
      <c r="E38" s="115" t="s">
        <v>681</v>
      </c>
      <c r="F38" s="111"/>
      <c r="G38" s="116">
        <f>47.4*1*2.2*0.8</f>
        <v>83.424</v>
      </c>
      <c r="H38" s="111"/>
      <c r="I38" s="111"/>
    </row>
    <row r="39" spans="1:9" ht="12.75">
      <c r="A39" s="111"/>
      <c r="B39" s="111"/>
      <c r="C39" s="111"/>
      <c r="D39" s="117"/>
      <c r="E39" s="117" t="s">
        <v>590</v>
      </c>
      <c r="F39" s="111"/>
      <c r="G39" s="119"/>
      <c r="H39" s="111"/>
      <c r="I39" s="111"/>
    </row>
    <row r="40" spans="1:9" ht="12.75">
      <c r="A40" s="111"/>
      <c r="B40" s="111"/>
      <c r="C40" s="111"/>
      <c r="D40" s="115"/>
      <c r="E40" s="115" t="s">
        <v>682</v>
      </c>
      <c r="F40" s="111"/>
      <c r="G40" s="116">
        <f>(5.4*1*2.3+21.4*1*2.08)*0.8</f>
        <v>45.546</v>
      </c>
      <c r="H40" s="111"/>
      <c r="I40" s="111"/>
    </row>
    <row r="41" spans="1:9" ht="12.75">
      <c r="A41" s="111"/>
      <c r="B41" s="111"/>
      <c r="C41" s="111"/>
      <c r="D41" s="117"/>
      <c r="E41" s="117" t="s">
        <v>591</v>
      </c>
      <c r="F41" s="111"/>
      <c r="G41" s="119"/>
      <c r="H41" s="111"/>
      <c r="I41" s="111"/>
    </row>
    <row r="42" spans="1:9" ht="12.75">
      <c r="A42" s="111"/>
      <c r="B42" s="111"/>
      <c r="C42" s="111"/>
      <c r="D42" s="115"/>
      <c r="E42" s="115" t="s">
        <v>683</v>
      </c>
      <c r="F42" s="111"/>
      <c r="G42" s="116">
        <f>(14*1*2.53+46.1*1*2.6+47.6*1*2.55+41.2*1*2.27)*0.8</f>
        <v>296.147</v>
      </c>
      <c r="H42" s="111"/>
      <c r="I42" s="111"/>
    </row>
    <row r="43" spans="1:9" ht="12.75">
      <c r="A43" s="111"/>
      <c r="B43" s="111"/>
      <c r="C43" s="111"/>
      <c r="D43" s="117"/>
      <c r="E43" s="117" t="s">
        <v>592</v>
      </c>
      <c r="F43" s="111"/>
      <c r="G43" s="119"/>
      <c r="H43" s="111"/>
      <c r="I43" s="111"/>
    </row>
    <row r="44" spans="1:9" ht="12.75">
      <c r="A44" s="111"/>
      <c r="B44" s="111"/>
      <c r="C44" s="111"/>
      <c r="D44" s="115"/>
      <c r="E44" s="115" t="s">
        <v>684</v>
      </c>
      <c r="F44" s="111"/>
      <c r="G44" s="116">
        <f>(29.1*1*2.82+30*1*2.54+30.8*1*2.4)*0.8</f>
        <v>185.746</v>
      </c>
      <c r="H44" s="111"/>
      <c r="I44" s="111"/>
    </row>
    <row r="45" spans="1:9" ht="12.75">
      <c r="A45" s="111"/>
      <c r="B45" s="111"/>
      <c r="C45" s="111"/>
      <c r="D45" s="117"/>
      <c r="E45" s="117" t="s">
        <v>593</v>
      </c>
      <c r="F45" s="111"/>
      <c r="G45" s="119"/>
      <c r="H45" s="111"/>
      <c r="I45" s="111"/>
    </row>
    <row r="46" spans="1:9" ht="12.75">
      <c r="A46" s="111"/>
      <c r="B46" s="111"/>
      <c r="C46" s="111"/>
      <c r="D46" s="115"/>
      <c r="E46" s="115" t="s">
        <v>685</v>
      </c>
      <c r="F46" s="111"/>
      <c r="G46" s="116">
        <f>39*1.2*2.2*(1788.09*2/1267.4)*0.8</f>
        <v>232.415</v>
      </c>
      <c r="H46" s="111"/>
      <c r="I46" s="111"/>
    </row>
    <row r="47" spans="1:9" ht="12.75">
      <c r="A47" s="111"/>
      <c r="B47" s="111"/>
      <c r="C47" s="111"/>
      <c r="D47" s="117"/>
      <c r="E47" s="117" t="s">
        <v>594</v>
      </c>
      <c r="F47" s="111"/>
      <c r="G47" s="119"/>
      <c r="H47" s="111"/>
      <c r="I47" s="111"/>
    </row>
    <row r="48" spans="1:9" ht="12.75">
      <c r="A48" s="111"/>
      <c r="B48" s="111"/>
      <c r="C48" s="111"/>
      <c r="D48" s="115"/>
      <c r="E48" s="115" t="s">
        <v>686</v>
      </c>
      <c r="F48" s="111"/>
      <c r="G48" s="116">
        <f>2.2*2.2*0.3*0.8*35</f>
        <v>40.656</v>
      </c>
      <c r="H48" s="111"/>
      <c r="I48" s="111"/>
    </row>
    <row r="49" spans="1:9" ht="12.75">
      <c r="A49" s="111"/>
      <c r="B49" s="111"/>
      <c r="C49" s="111"/>
      <c r="D49" s="117"/>
      <c r="E49" s="117" t="s">
        <v>595</v>
      </c>
      <c r="F49" s="111"/>
      <c r="G49" s="119"/>
      <c r="H49" s="111"/>
      <c r="I49" s="111"/>
    </row>
    <row r="50" spans="1:9" ht="12.75">
      <c r="A50" s="111"/>
      <c r="B50" s="111"/>
      <c r="C50" s="111"/>
      <c r="D50" s="115"/>
      <c r="E50" s="115">
        <f>-217.8*0.2*1*0.8</f>
        <v>-34.848</v>
      </c>
      <c r="F50" s="111"/>
      <c r="G50" s="132">
        <f>-217.8*0.2*1*0.8</f>
        <v>-34.848</v>
      </c>
      <c r="H50" s="111"/>
      <c r="I50" s="111"/>
    </row>
    <row r="51" spans="1:9" ht="12.75">
      <c r="A51" s="111"/>
      <c r="B51" s="111"/>
      <c r="C51" s="111"/>
      <c r="D51" s="117"/>
      <c r="E51" s="117" t="s">
        <v>596</v>
      </c>
      <c r="F51" s="111"/>
      <c r="G51" s="119"/>
      <c r="H51" s="111"/>
      <c r="I51" s="111"/>
    </row>
    <row r="52" spans="1:9" ht="12.75">
      <c r="A52" s="111"/>
      <c r="B52" s="111"/>
      <c r="C52" s="111"/>
      <c r="D52" s="115"/>
      <c r="E52" s="115">
        <f>-522*1*0.45*0.8</f>
        <v>-187.92</v>
      </c>
      <c r="F52" s="111"/>
      <c r="G52" s="132">
        <f>-522*1*0.45*0.8</f>
        <v>-187.92</v>
      </c>
      <c r="H52" s="111"/>
      <c r="I52" s="111"/>
    </row>
    <row r="53" spans="1:9" ht="12.75">
      <c r="A53" s="111"/>
      <c r="B53" s="111"/>
      <c r="C53" s="111"/>
      <c r="D53" s="117"/>
      <c r="E53" s="117" t="s">
        <v>597</v>
      </c>
      <c r="F53" s="111"/>
      <c r="G53" s="119"/>
      <c r="H53" s="111"/>
      <c r="I53" s="111"/>
    </row>
    <row r="54" spans="1:9" ht="12.75">
      <c r="A54" s="111"/>
      <c r="B54" s="111"/>
      <c r="C54" s="111"/>
      <c r="D54" s="115"/>
      <c r="E54" s="115">
        <f>-477.6*1*0.3*0.8</f>
        <v>-114.624</v>
      </c>
      <c r="F54" s="111"/>
      <c r="G54" s="132">
        <f>-477.6*1*0.3*0.8</f>
        <v>-114.624</v>
      </c>
      <c r="H54" s="111"/>
      <c r="I54" s="111"/>
    </row>
    <row r="55" spans="1:9" ht="12.75">
      <c r="A55" s="111"/>
      <c r="B55" s="111"/>
      <c r="C55" s="111"/>
      <c r="D55" s="117"/>
      <c r="E55" s="117" t="s">
        <v>598</v>
      </c>
      <c r="F55" s="111"/>
      <c r="G55" s="119"/>
      <c r="H55" s="111"/>
      <c r="I55" s="111"/>
    </row>
    <row r="56" spans="1:9" ht="12.75">
      <c r="A56" s="111"/>
      <c r="B56" s="111"/>
      <c r="C56" s="111"/>
      <c r="D56" s="115"/>
      <c r="E56" s="115">
        <f>-39*2.2*1.2*0.35*0.8</f>
        <v>-28.8288</v>
      </c>
      <c r="F56" s="111"/>
      <c r="G56" s="132">
        <f>-39*2.2*1.2*0.35*0.8</f>
        <v>-28.8288</v>
      </c>
      <c r="H56" s="111"/>
      <c r="I56" s="111"/>
    </row>
    <row r="57" spans="1:9" ht="12.75">
      <c r="A57" s="110" t="s">
        <v>89</v>
      </c>
      <c r="B57" s="110" t="s">
        <v>489</v>
      </c>
      <c r="C57" s="110" t="s">
        <v>493</v>
      </c>
      <c r="D57" s="111" t="s">
        <v>115</v>
      </c>
      <c r="E57" s="112" t="s">
        <v>116</v>
      </c>
      <c r="F57" s="110" t="s">
        <v>103</v>
      </c>
      <c r="G57" s="113">
        <f>G58</f>
        <v>830.338</v>
      </c>
      <c r="H57" s="114"/>
      <c r="I57" s="114">
        <f>ROUND(G57*H57,2)</f>
        <v>0</v>
      </c>
    </row>
    <row r="58" spans="1:9" ht="12.75">
      <c r="A58" s="111"/>
      <c r="B58" s="111"/>
      <c r="C58" s="111"/>
      <c r="D58" s="115"/>
      <c r="E58" s="115" t="s">
        <v>687</v>
      </c>
      <c r="F58" s="111"/>
      <c r="G58" s="116">
        <f>G28*0.3</f>
        <v>830.338</v>
      </c>
      <c r="H58" s="111"/>
      <c r="I58" s="111"/>
    </row>
    <row r="59" spans="1:9" ht="12.75">
      <c r="A59" s="110" t="s">
        <v>90</v>
      </c>
      <c r="B59" s="110" t="s">
        <v>489</v>
      </c>
      <c r="C59" s="110" t="s">
        <v>92</v>
      </c>
      <c r="D59" s="111" t="s">
        <v>117</v>
      </c>
      <c r="E59" s="112" t="s">
        <v>274</v>
      </c>
      <c r="F59" s="110" t="s">
        <v>103</v>
      </c>
      <c r="G59" s="113">
        <f>G60</f>
        <v>691.948</v>
      </c>
      <c r="H59" s="114"/>
      <c r="I59" s="114">
        <f>ROUND(G59*H59,2)</f>
        <v>0</v>
      </c>
    </row>
    <row r="60" spans="1:9" ht="12.75">
      <c r="A60" s="111"/>
      <c r="B60" s="111"/>
      <c r="C60" s="111"/>
      <c r="D60" s="115"/>
      <c r="E60" s="115" t="s">
        <v>688</v>
      </c>
      <c r="F60" s="111"/>
      <c r="G60" s="116">
        <f>G28/4</f>
        <v>691.948</v>
      </c>
      <c r="H60" s="111"/>
      <c r="I60" s="111"/>
    </row>
    <row r="61" spans="1:9" ht="12.75">
      <c r="A61" s="110" t="s">
        <v>257</v>
      </c>
      <c r="B61" s="110" t="s">
        <v>489</v>
      </c>
      <c r="C61" s="110" t="s">
        <v>92</v>
      </c>
      <c r="D61" s="111" t="s">
        <v>118</v>
      </c>
      <c r="E61" s="112" t="s">
        <v>119</v>
      </c>
      <c r="F61" s="110" t="s">
        <v>103</v>
      </c>
      <c r="G61" s="113">
        <f>G62</f>
        <v>207.584</v>
      </c>
      <c r="H61" s="114"/>
      <c r="I61" s="114">
        <f>ROUND(G61*H61,2)</f>
        <v>0</v>
      </c>
    </row>
    <row r="62" spans="1:9" ht="12.75">
      <c r="A62" s="111"/>
      <c r="B62" s="111"/>
      <c r="C62" s="111"/>
      <c r="D62" s="115"/>
      <c r="E62" s="115" t="s">
        <v>689</v>
      </c>
      <c r="F62" s="111"/>
      <c r="G62" s="116">
        <f>G59*0.3</f>
        <v>207.584</v>
      </c>
      <c r="H62" s="111"/>
      <c r="I62" s="111"/>
    </row>
    <row r="63" spans="1:9" ht="12.75">
      <c r="A63" s="110" t="s">
        <v>492</v>
      </c>
      <c r="B63" s="110" t="s">
        <v>489</v>
      </c>
      <c r="C63" s="110" t="s">
        <v>92</v>
      </c>
      <c r="D63" s="111" t="s">
        <v>127</v>
      </c>
      <c r="E63" s="112" t="s">
        <v>128</v>
      </c>
      <c r="F63" s="110" t="s">
        <v>129</v>
      </c>
      <c r="G63" s="113">
        <v>5069.6</v>
      </c>
      <c r="H63" s="114"/>
      <c r="I63" s="114">
        <f>ROUND(G63*H63,2)</f>
        <v>0</v>
      </c>
    </row>
    <row r="64" spans="1:9" ht="12.75">
      <c r="A64" s="111"/>
      <c r="B64" s="111"/>
      <c r="C64" s="111"/>
      <c r="D64" s="115"/>
      <c r="E64" s="115" t="s">
        <v>362</v>
      </c>
      <c r="F64" s="111"/>
      <c r="G64" s="116">
        <v>5069.6</v>
      </c>
      <c r="H64" s="111"/>
      <c r="I64" s="111"/>
    </row>
    <row r="65" spans="1:9" ht="12.75">
      <c r="A65" s="110" t="s">
        <v>494</v>
      </c>
      <c r="B65" s="110" t="s">
        <v>489</v>
      </c>
      <c r="C65" s="110" t="s">
        <v>92</v>
      </c>
      <c r="D65" s="111" t="s">
        <v>134</v>
      </c>
      <c r="E65" s="112" t="s">
        <v>135</v>
      </c>
      <c r="F65" s="110" t="s">
        <v>129</v>
      </c>
      <c r="G65" s="113">
        <v>1495.532</v>
      </c>
      <c r="H65" s="114"/>
      <c r="I65" s="114">
        <f>ROUND(G65*H65,2)</f>
        <v>0</v>
      </c>
    </row>
    <row r="66" spans="1:9" ht="12.75">
      <c r="A66" s="111"/>
      <c r="B66" s="111"/>
      <c r="C66" s="111"/>
      <c r="D66" s="115"/>
      <c r="E66" s="115" t="s">
        <v>363</v>
      </c>
      <c r="F66" s="111"/>
      <c r="G66" s="116">
        <v>1495.532</v>
      </c>
      <c r="H66" s="111"/>
      <c r="I66" s="111"/>
    </row>
    <row r="67" spans="1:9" ht="12.75">
      <c r="A67" s="110" t="s">
        <v>254</v>
      </c>
      <c r="B67" s="110" t="s">
        <v>489</v>
      </c>
      <c r="C67" s="110" t="s">
        <v>92</v>
      </c>
      <c r="D67" s="111" t="s">
        <v>132</v>
      </c>
      <c r="E67" s="112" t="s">
        <v>133</v>
      </c>
      <c r="F67" s="110" t="s">
        <v>129</v>
      </c>
      <c r="G67" s="113">
        <v>5069.6</v>
      </c>
      <c r="H67" s="114"/>
      <c r="I67" s="114">
        <f>ROUND(G67*H67,2)</f>
        <v>0</v>
      </c>
    </row>
    <row r="68" spans="1:9" ht="12.75">
      <c r="A68" s="111"/>
      <c r="B68" s="111"/>
      <c r="C68" s="111"/>
      <c r="D68" s="115"/>
      <c r="E68" s="115" t="s">
        <v>364</v>
      </c>
      <c r="F68" s="111"/>
      <c r="G68" s="116">
        <v>5069.6</v>
      </c>
      <c r="H68" s="111"/>
      <c r="I68" s="111"/>
    </row>
    <row r="69" spans="1:9" ht="12.75">
      <c r="A69" s="110" t="s">
        <v>256</v>
      </c>
      <c r="B69" s="110" t="s">
        <v>489</v>
      </c>
      <c r="C69" s="110" t="s">
        <v>92</v>
      </c>
      <c r="D69" s="111" t="s">
        <v>136</v>
      </c>
      <c r="E69" s="112" t="s">
        <v>137</v>
      </c>
      <c r="F69" s="110" t="s">
        <v>129</v>
      </c>
      <c r="G69" s="113">
        <v>1495.532</v>
      </c>
      <c r="H69" s="114"/>
      <c r="I69" s="114">
        <f>ROUND(G69*H69,2)</f>
        <v>0</v>
      </c>
    </row>
    <row r="70" spans="1:9" ht="12.75">
      <c r="A70" s="111"/>
      <c r="B70" s="111"/>
      <c r="C70" s="111"/>
      <c r="D70" s="115"/>
      <c r="E70" s="115" t="s">
        <v>365</v>
      </c>
      <c r="F70" s="111"/>
      <c r="G70" s="116">
        <v>1495.532</v>
      </c>
      <c r="H70" s="111"/>
      <c r="I70" s="111"/>
    </row>
    <row r="71" spans="1:9" ht="12.75">
      <c r="A71" s="110" t="s">
        <v>495</v>
      </c>
      <c r="B71" s="110" t="s">
        <v>489</v>
      </c>
      <c r="C71" s="110" t="s">
        <v>92</v>
      </c>
      <c r="D71" s="111" t="s">
        <v>120</v>
      </c>
      <c r="E71" s="112" t="s">
        <v>121</v>
      </c>
      <c r="F71" s="110" t="s">
        <v>103</v>
      </c>
      <c r="G71" s="113">
        <v>3459.742</v>
      </c>
      <c r="H71" s="114"/>
      <c r="I71" s="114">
        <f>ROUND(G71*H71,2)</f>
        <v>0</v>
      </c>
    </row>
    <row r="72" spans="1:9" ht="12.75">
      <c r="A72" s="111"/>
      <c r="B72" s="111"/>
      <c r="C72" s="111"/>
      <c r="D72" s="115"/>
      <c r="E72" s="115" t="s">
        <v>693</v>
      </c>
      <c r="F72" s="111"/>
      <c r="G72" s="116">
        <v>3459.742</v>
      </c>
      <c r="H72" s="111"/>
      <c r="I72" s="111"/>
    </row>
    <row r="73" spans="1:9" ht="12.75">
      <c r="A73" s="110" t="s">
        <v>184</v>
      </c>
      <c r="B73" s="110" t="s">
        <v>489</v>
      </c>
      <c r="C73" s="110" t="s">
        <v>92</v>
      </c>
      <c r="D73" s="111" t="s">
        <v>144</v>
      </c>
      <c r="E73" s="112" t="s">
        <v>278</v>
      </c>
      <c r="F73" s="110" t="s">
        <v>103</v>
      </c>
      <c r="G73" s="113">
        <f>G75+G77</f>
        <v>5021.943</v>
      </c>
      <c r="H73" s="114"/>
      <c r="I73" s="114">
        <f>ROUND(G73*H73,2)</f>
        <v>0</v>
      </c>
    </row>
    <row r="74" spans="1:9" ht="12.75">
      <c r="A74" s="111"/>
      <c r="B74" s="111"/>
      <c r="C74" s="111"/>
      <c r="D74" s="117"/>
      <c r="E74" s="117" t="s">
        <v>582</v>
      </c>
      <c r="F74" s="111"/>
      <c r="G74" s="118"/>
      <c r="H74" s="111"/>
      <c r="I74" s="111"/>
    </row>
    <row r="75" spans="1:9" ht="12.75">
      <c r="A75" s="111"/>
      <c r="B75" s="111"/>
      <c r="C75" s="111"/>
      <c r="D75" s="115"/>
      <c r="E75" s="115" t="s">
        <v>699</v>
      </c>
      <c r="F75" s="111"/>
      <c r="G75" s="116">
        <f>2222.723-660.522</f>
        <v>1562.201</v>
      </c>
      <c r="H75" s="111"/>
      <c r="I75" s="111"/>
    </row>
    <row r="76" spans="1:9" ht="12.75">
      <c r="A76" s="111"/>
      <c r="B76" s="111"/>
      <c r="C76" s="111"/>
      <c r="D76" s="117"/>
      <c r="E76" s="117" t="s">
        <v>599</v>
      </c>
      <c r="F76" s="111"/>
      <c r="G76" s="119"/>
      <c r="H76" s="111"/>
      <c r="I76" s="111"/>
    </row>
    <row r="77" spans="1:9" ht="12.75">
      <c r="A77" s="111"/>
      <c r="B77" s="111"/>
      <c r="C77" s="111"/>
      <c r="D77" s="115"/>
      <c r="E77" s="115" t="s">
        <v>693</v>
      </c>
      <c r="F77" s="111"/>
      <c r="G77" s="116">
        <v>3459.742</v>
      </c>
      <c r="H77" s="111"/>
      <c r="I77" s="111"/>
    </row>
    <row r="78" spans="1:9" ht="12.75">
      <c r="A78" s="110" t="s">
        <v>496</v>
      </c>
      <c r="B78" s="110" t="s">
        <v>489</v>
      </c>
      <c r="C78" s="110" t="s">
        <v>92</v>
      </c>
      <c r="D78" s="111" t="s">
        <v>146</v>
      </c>
      <c r="E78" s="112" t="s">
        <v>147</v>
      </c>
      <c r="F78" s="110" t="s">
        <v>103</v>
      </c>
      <c r="G78" s="113">
        <f>G80</f>
        <v>1401.283</v>
      </c>
      <c r="H78" s="114"/>
      <c r="I78" s="114">
        <f>ROUND(G78*H78,2)</f>
        <v>0</v>
      </c>
    </row>
    <row r="79" spans="1:9" ht="12.75">
      <c r="A79" s="111"/>
      <c r="B79" s="111"/>
      <c r="C79" s="111"/>
      <c r="D79" s="117"/>
      <c r="E79" s="117" t="s">
        <v>600</v>
      </c>
      <c r="F79" s="111"/>
      <c r="G79" s="118"/>
      <c r="H79" s="111"/>
      <c r="I79" s="111"/>
    </row>
    <row r="80" spans="1:9" ht="12.75">
      <c r="A80" s="111"/>
      <c r="B80" s="111"/>
      <c r="C80" s="111"/>
      <c r="D80" s="115"/>
      <c r="E80" s="115" t="s">
        <v>700</v>
      </c>
      <c r="F80" s="111"/>
      <c r="G80" s="116">
        <f>((522+477.6)*2.59*1+29*2.2*1.2*2.79)*0.5</f>
        <v>1401.283</v>
      </c>
      <c r="H80" s="111"/>
      <c r="I80" s="111"/>
    </row>
    <row r="81" spans="1:9" ht="22.5">
      <c r="A81" s="110" t="s">
        <v>497</v>
      </c>
      <c r="B81" s="110" t="s">
        <v>489</v>
      </c>
      <c r="C81" s="110" t="s">
        <v>92</v>
      </c>
      <c r="D81" s="111" t="s">
        <v>149</v>
      </c>
      <c r="E81" s="112" t="s">
        <v>150</v>
      </c>
      <c r="F81" s="110" t="s">
        <v>103</v>
      </c>
      <c r="G81" s="113">
        <f>G82</f>
        <v>11210.264</v>
      </c>
      <c r="H81" s="114"/>
      <c r="I81" s="114">
        <f>ROUND(G81*H81,2)</f>
        <v>0</v>
      </c>
    </row>
    <row r="82" spans="1:9" ht="12.75">
      <c r="A82" s="111"/>
      <c r="B82" s="111"/>
      <c r="C82" s="111"/>
      <c r="D82" s="115"/>
      <c r="E82" s="115" t="s">
        <v>701</v>
      </c>
      <c r="F82" s="111"/>
      <c r="G82" s="116">
        <f>1401.283*8</f>
        <v>11210.264</v>
      </c>
      <c r="H82" s="111"/>
      <c r="I82" s="111"/>
    </row>
    <row r="83" spans="1:9" ht="12.75">
      <c r="A83" s="110" t="s">
        <v>498</v>
      </c>
      <c r="B83" s="110" t="s">
        <v>489</v>
      </c>
      <c r="C83" s="110" t="s">
        <v>92</v>
      </c>
      <c r="D83" s="111" t="s">
        <v>151</v>
      </c>
      <c r="E83" s="112" t="s">
        <v>152</v>
      </c>
      <c r="F83" s="110" t="s">
        <v>103</v>
      </c>
      <c r="G83" s="113">
        <f>G84</f>
        <v>1562.201</v>
      </c>
      <c r="H83" s="114"/>
      <c r="I83" s="114">
        <f>ROUND(G83*H83,2)</f>
        <v>0</v>
      </c>
    </row>
    <row r="84" spans="1:9" ht="12.75">
      <c r="A84" s="111"/>
      <c r="B84" s="111"/>
      <c r="C84" s="111"/>
      <c r="D84" s="115"/>
      <c r="E84" s="133">
        <f>2222.723-660.522</f>
        <v>1562.201</v>
      </c>
      <c r="F84" s="111"/>
      <c r="G84" s="116">
        <f>2222.723-660.522</f>
        <v>1562.201</v>
      </c>
      <c r="H84" s="111"/>
      <c r="I84" s="111"/>
    </row>
    <row r="85" spans="1:9" ht="12.75">
      <c r="A85" s="110" t="s">
        <v>499</v>
      </c>
      <c r="B85" s="110" t="s">
        <v>489</v>
      </c>
      <c r="C85" s="110" t="s">
        <v>92</v>
      </c>
      <c r="D85" s="111" t="s">
        <v>153</v>
      </c>
      <c r="E85" s="112" t="s">
        <v>154</v>
      </c>
      <c r="F85" s="110" t="s">
        <v>103</v>
      </c>
      <c r="G85" s="113">
        <f>G86</f>
        <v>1401.283</v>
      </c>
      <c r="H85" s="114"/>
      <c r="I85" s="114">
        <f>ROUND(G85*H85,2)</f>
        <v>0</v>
      </c>
    </row>
    <row r="86" spans="1:9" ht="12.75">
      <c r="A86" s="111"/>
      <c r="B86" s="111"/>
      <c r="C86" s="111"/>
      <c r="D86" s="115"/>
      <c r="E86" s="133">
        <f>((522+477.6)*2.59*1+29*2.2*1.2*2.79)*0.5</f>
        <v>1401.283</v>
      </c>
      <c r="F86" s="111"/>
      <c r="G86" s="116">
        <f>((522+477.6)*2.59*1+29*2.2*1.2*2.79)*0.5</f>
        <v>1401.283</v>
      </c>
      <c r="H86" s="111"/>
      <c r="I86" s="111"/>
    </row>
    <row r="87" spans="1:9" ht="12.75">
      <c r="A87" s="110" t="s">
        <v>500</v>
      </c>
      <c r="B87" s="110" t="s">
        <v>489</v>
      </c>
      <c r="C87" s="110" t="s">
        <v>92</v>
      </c>
      <c r="D87" s="111" t="s">
        <v>155</v>
      </c>
      <c r="E87" s="112" t="s">
        <v>156</v>
      </c>
      <c r="F87" s="110" t="s">
        <v>157</v>
      </c>
      <c r="G87" s="113">
        <f>G88</f>
        <v>2382.181</v>
      </c>
      <c r="H87" s="114"/>
      <c r="I87" s="114">
        <f>ROUND(G87*H87,2)</f>
        <v>0</v>
      </c>
    </row>
    <row r="88" spans="1:9" ht="12.75">
      <c r="A88" s="111"/>
      <c r="B88" s="111"/>
      <c r="C88" s="111"/>
      <c r="D88" s="115"/>
      <c r="E88" s="115" t="s">
        <v>702</v>
      </c>
      <c r="F88" s="111"/>
      <c r="G88" s="116">
        <f>1401.283*1.7</f>
        <v>2382.181</v>
      </c>
      <c r="H88" s="111"/>
      <c r="I88" s="111"/>
    </row>
    <row r="89" spans="1:9" ht="12.75">
      <c r="A89" s="110" t="s">
        <v>263</v>
      </c>
      <c r="B89" s="110" t="s">
        <v>489</v>
      </c>
      <c r="C89" s="110" t="s">
        <v>92</v>
      </c>
      <c r="D89" s="111" t="s">
        <v>159</v>
      </c>
      <c r="E89" s="112" t="s">
        <v>160</v>
      </c>
      <c r="F89" s="110" t="s">
        <v>103</v>
      </c>
      <c r="G89" s="113">
        <f>G91+G93+G95+G97</f>
        <v>670.226</v>
      </c>
      <c r="H89" s="114"/>
      <c r="I89" s="114">
        <f>ROUND(G89*H89,2)</f>
        <v>0</v>
      </c>
    </row>
    <row r="90" spans="1:9" ht="12.75">
      <c r="A90" s="111"/>
      <c r="B90" s="111"/>
      <c r="C90" s="111"/>
      <c r="D90" s="117"/>
      <c r="E90" s="117" t="s">
        <v>599</v>
      </c>
      <c r="F90" s="111"/>
      <c r="G90" s="118"/>
      <c r="H90" s="111"/>
      <c r="I90" s="111"/>
    </row>
    <row r="91" spans="1:9" ht="12.75">
      <c r="A91" s="111"/>
      <c r="B91" s="111"/>
      <c r="C91" s="111"/>
      <c r="D91" s="115"/>
      <c r="E91" s="115" t="s">
        <v>698</v>
      </c>
      <c r="F91" s="111"/>
      <c r="G91" s="116">
        <f>(G28+G59)*0.5</f>
        <v>1729.871</v>
      </c>
      <c r="H91" s="111"/>
      <c r="I91" s="111"/>
    </row>
    <row r="92" spans="1:9" ht="12.75">
      <c r="A92" s="111"/>
      <c r="B92" s="111"/>
      <c r="C92" s="111"/>
      <c r="D92" s="117"/>
      <c r="E92" s="117" t="s">
        <v>601</v>
      </c>
      <c r="F92" s="111"/>
      <c r="G92" s="119"/>
      <c r="H92" s="111"/>
      <c r="I92" s="111"/>
    </row>
    <row r="93" spans="1:9" ht="12.75">
      <c r="A93" s="111"/>
      <c r="B93" s="111"/>
      <c r="C93" s="111"/>
      <c r="D93" s="115"/>
      <c r="E93" s="115" t="s">
        <v>366</v>
      </c>
      <c r="F93" s="111"/>
      <c r="G93" s="116">
        <v>-815.04</v>
      </c>
      <c r="H93" s="111"/>
      <c r="I93" s="111"/>
    </row>
    <row r="94" spans="1:9" ht="12.75">
      <c r="A94" s="111"/>
      <c r="B94" s="111"/>
      <c r="C94" s="111"/>
      <c r="D94" s="117"/>
      <c r="E94" s="117" t="s">
        <v>602</v>
      </c>
      <c r="F94" s="111"/>
      <c r="G94" s="119"/>
      <c r="H94" s="111"/>
      <c r="I94" s="111"/>
    </row>
    <row r="95" spans="1:9" ht="12.75">
      <c r="A95" s="111"/>
      <c r="B95" s="111"/>
      <c r="C95" s="111"/>
      <c r="D95" s="115"/>
      <c r="E95" s="115" t="s">
        <v>367</v>
      </c>
      <c r="F95" s="111"/>
      <c r="G95" s="116">
        <v>-126.74</v>
      </c>
      <c r="H95" s="111"/>
      <c r="I95" s="111"/>
    </row>
    <row r="96" spans="1:9" ht="12.75">
      <c r="A96" s="111"/>
      <c r="B96" s="111"/>
      <c r="C96" s="111"/>
      <c r="D96" s="117"/>
      <c r="E96" s="117" t="s">
        <v>603</v>
      </c>
      <c r="F96" s="111"/>
      <c r="G96" s="119"/>
      <c r="H96" s="111"/>
      <c r="I96" s="111"/>
    </row>
    <row r="97" spans="1:9" ht="12.75">
      <c r="A97" s="111"/>
      <c r="B97" s="111"/>
      <c r="C97" s="111"/>
      <c r="D97" s="115"/>
      <c r="E97" s="115" t="s">
        <v>368</v>
      </c>
      <c r="F97" s="111"/>
      <c r="G97" s="116">
        <v>-117.865</v>
      </c>
      <c r="H97" s="111"/>
      <c r="I97" s="111"/>
    </row>
    <row r="98" spans="1:9" ht="22.5">
      <c r="A98" s="110" t="s">
        <v>264</v>
      </c>
      <c r="B98" s="110" t="s">
        <v>489</v>
      </c>
      <c r="C98" s="110" t="s">
        <v>92</v>
      </c>
      <c r="D98" s="111" t="s">
        <v>172</v>
      </c>
      <c r="E98" s="112" t="s">
        <v>173</v>
      </c>
      <c r="F98" s="110" t="s">
        <v>103</v>
      </c>
      <c r="G98" s="113">
        <f>G99+G100</f>
        <v>815.04</v>
      </c>
      <c r="H98" s="114"/>
      <c r="I98" s="114">
        <f>ROUND(G98*H98,2)</f>
        <v>0</v>
      </c>
    </row>
    <row r="99" spans="1:9" ht="12.75">
      <c r="A99" s="111"/>
      <c r="B99" s="111"/>
      <c r="C99" s="111"/>
      <c r="D99" s="115"/>
      <c r="E99" s="115" t="s">
        <v>369</v>
      </c>
      <c r="F99" s="111"/>
      <c r="G99" s="116">
        <f>1092*1*0.65</f>
        <v>709.8</v>
      </c>
      <c r="H99" s="111"/>
      <c r="I99" s="111"/>
    </row>
    <row r="100" spans="1:9" ht="12.75">
      <c r="A100" s="111"/>
      <c r="B100" s="111"/>
      <c r="C100" s="111"/>
      <c r="D100" s="115"/>
      <c r="E100" s="115" t="s">
        <v>370</v>
      </c>
      <c r="F100" s="111"/>
      <c r="G100" s="116">
        <f>175.4*1*0.6</f>
        <v>105.24</v>
      </c>
      <c r="H100" s="111"/>
      <c r="I100" s="111"/>
    </row>
    <row r="101" spans="1:9" ht="12.75">
      <c r="A101" s="120" t="s">
        <v>501</v>
      </c>
      <c r="B101" s="120" t="s">
        <v>508</v>
      </c>
      <c r="C101" s="120" t="s">
        <v>509</v>
      </c>
      <c r="D101" s="121" t="s">
        <v>24</v>
      </c>
      <c r="E101" s="122" t="s">
        <v>510</v>
      </c>
      <c r="F101" s="120" t="s">
        <v>157</v>
      </c>
      <c r="G101" s="123">
        <v>1467.072</v>
      </c>
      <c r="H101" s="124"/>
      <c r="I101" s="124">
        <f>ROUND(G101*H101,2)</f>
        <v>0</v>
      </c>
    </row>
    <row r="102" spans="1:9" ht="12.75">
      <c r="A102" s="111"/>
      <c r="B102" s="111"/>
      <c r="C102" s="111"/>
      <c r="D102" s="115"/>
      <c r="E102" s="115" t="s">
        <v>371</v>
      </c>
      <c r="F102" s="111"/>
      <c r="G102" s="116">
        <f>G98*1.8</f>
        <v>1467.072</v>
      </c>
      <c r="H102" s="111"/>
      <c r="I102" s="111"/>
    </row>
    <row r="103" spans="1:9" ht="12.75">
      <c r="A103" s="110" t="s">
        <v>266</v>
      </c>
      <c r="B103" s="110" t="s">
        <v>489</v>
      </c>
      <c r="C103" s="110" t="s">
        <v>163</v>
      </c>
      <c r="D103" s="111" t="s">
        <v>164</v>
      </c>
      <c r="E103" s="112" t="s">
        <v>165</v>
      </c>
      <c r="F103" s="110" t="s">
        <v>129</v>
      </c>
      <c r="G103" s="113">
        <f>G104+G105+G106</f>
        <v>435.6</v>
      </c>
      <c r="H103" s="114"/>
      <c r="I103" s="114">
        <f>ROUND(G103*H103,2)</f>
        <v>0</v>
      </c>
    </row>
    <row r="104" spans="1:9" ht="12.75">
      <c r="A104" s="111"/>
      <c r="B104" s="111"/>
      <c r="C104" s="111"/>
      <c r="D104" s="115"/>
      <c r="E104" s="115" t="s">
        <v>690</v>
      </c>
      <c r="F104" s="111"/>
      <c r="G104" s="116">
        <f>123.1*2</f>
        <v>246.2</v>
      </c>
      <c r="H104" s="111"/>
      <c r="I104" s="111"/>
    </row>
    <row r="105" spans="1:9" ht="12.75">
      <c r="A105" s="111"/>
      <c r="B105" s="111"/>
      <c r="C105" s="111"/>
      <c r="D105" s="115"/>
      <c r="E105" s="115" t="s">
        <v>691</v>
      </c>
      <c r="F105" s="111"/>
      <c r="G105" s="116">
        <f>57.8*2</f>
        <v>115.6</v>
      </c>
      <c r="H105" s="111"/>
      <c r="I105" s="111"/>
    </row>
    <row r="106" spans="1:9" ht="12.75">
      <c r="A106" s="111"/>
      <c r="B106" s="111"/>
      <c r="C106" s="111"/>
      <c r="D106" s="115"/>
      <c r="E106" s="115" t="s">
        <v>692</v>
      </c>
      <c r="F106" s="111"/>
      <c r="G106" s="116">
        <f>36.9*2</f>
        <v>73.8</v>
      </c>
      <c r="H106" s="111"/>
      <c r="I106" s="111"/>
    </row>
    <row r="107" spans="1:9" ht="22.5">
      <c r="A107" s="110" t="s">
        <v>502</v>
      </c>
      <c r="B107" s="110" t="s">
        <v>489</v>
      </c>
      <c r="C107" s="110" t="s">
        <v>92</v>
      </c>
      <c r="D107" s="111" t="s">
        <v>372</v>
      </c>
      <c r="E107" s="112" t="s">
        <v>604</v>
      </c>
      <c r="F107" s="110" t="s">
        <v>129</v>
      </c>
      <c r="G107" s="113">
        <f>G103</f>
        <v>435.6</v>
      </c>
      <c r="H107" s="114"/>
      <c r="I107" s="114">
        <f>ROUND(G107*H107,2)</f>
        <v>0</v>
      </c>
    </row>
    <row r="108" spans="1:9" ht="12.75">
      <c r="A108" s="120" t="s">
        <v>505</v>
      </c>
      <c r="B108" s="120" t="s">
        <v>508</v>
      </c>
      <c r="C108" s="120" t="s">
        <v>509</v>
      </c>
      <c r="D108" s="121" t="s">
        <v>166</v>
      </c>
      <c r="E108" s="122" t="s">
        <v>167</v>
      </c>
      <c r="F108" s="120" t="s">
        <v>168</v>
      </c>
      <c r="G108" s="123">
        <v>19.602</v>
      </c>
      <c r="H108" s="124"/>
      <c r="I108" s="124">
        <f>ROUND(G108*H108,2)</f>
        <v>0</v>
      </c>
    </row>
    <row r="109" spans="1:9" ht="12.75">
      <c r="A109" s="110" t="s">
        <v>506</v>
      </c>
      <c r="B109" s="110" t="s">
        <v>489</v>
      </c>
      <c r="C109" s="110" t="s">
        <v>92</v>
      </c>
      <c r="D109" s="111" t="s">
        <v>169</v>
      </c>
      <c r="E109" s="112" t="s">
        <v>170</v>
      </c>
      <c r="F109" s="110" t="s">
        <v>129</v>
      </c>
      <c r="G109" s="113">
        <v>1359.8</v>
      </c>
      <c r="H109" s="114"/>
      <c r="I109" s="114">
        <f>ROUND(G109*H109,2)</f>
        <v>0</v>
      </c>
    </row>
    <row r="110" spans="1:9" ht="12.75">
      <c r="A110" s="111"/>
      <c r="B110" s="111"/>
      <c r="C110" s="111"/>
      <c r="D110" s="115"/>
      <c r="E110" s="115" t="s">
        <v>373</v>
      </c>
      <c r="F110" s="111"/>
      <c r="G110" s="116">
        <v>1359.8</v>
      </c>
      <c r="H110" s="111"/>
      <c r="I110" s="111"/>
    </row>
    <row r="111" spans="1:9" ht="12.75">
      <c r="A111" s="110" t="s">
        <v>507</v>
      </c>
      <c r="B111" s="110" t="s">
        <v>489</v>
      </c>
      <c r="C111" s="110" t="s">
        <v>175</v>
      </c>
      <c r="D111" s="111" t="s">
        <v>176</v>
      </c>
      <c r="E111" s="112" t="s">
        <v>177</v>
      </c>
      <c r="F111" s="110" t="s">
        <v>103</v>
      </c>
      <c r="G111" s="113">
        <v>126.74</v>
      </c>
      <c r="H111" s="114"/>
      <c r="I111" s="114">
        <f>ROUND(G111*H111,2)</f>
        <v>0</v>
      </c>
    </row>
    <row r="112" spans="1:9" ht="12.75">
      <c r="A112" s="111"/>
      <c r="B112" s="111"/>
      <c r="C112" s="111"/>
      <c r="D112" s="115"/>
      <c r="E112" s="115" t="s">
        <v>374</v>
      </c>
      <c r="F112" s="111"/>
      <c r="G112" s="116">
        <f>1267.4*1*0.1</f>
        <v>126.74</v>
      </c>
      <c r="H112" s="111"/>
      <c r="I112" s="111"/>
    </row>
    <row r="113" spans="1:9" ht="12.75">
      <c r="A113" s="110" t="s">
        <v>511</v>
      </c>
      <c r="B113" s="110" t="s">
        <v>489</v>
      </c>
      <c r="C113" s="110" t="s">
        <v>493</v>
      </c>
      <c r="D113" s="111" t="s">
        <v>284</v>
      </c>
      <c r="E113" s="112" t="s">
        <v>285</v>
      </c>
      <c r="F113" s="110" t="s">
        <v>103</v>
      </c>
      <c r="G113" s="113">
        <f>G115+G117+G119+G121+G123</f>
        <v>660.522</v>
      </c>
      <c r="H113" s="114"/>
      <c r="I113" s="114">
        <f>ROUND(G113*H113,2)</f>
        <v>0</v>
      </c>
    </row>
    <row r="114" spans="1:9" ht="12.75">
      <c r="A114" s="111"/>
      <c r="B114" s="111"/>
      <c r="C114" s="111"/>
      <c r="D114" s="117"/>
      <c r="E114" s="117" t="s">
        <v>605</v>
      </c>
      <c r="F114" s="111"/>
      <c r="G114" s="118"/>
      <c r="H114" s="111"/>
      <c r="I114" s="111"/>
    </row>
    <row r="115" spans="1:9" ht="12.75">
      <c r="A115" s="111"/>
      <c r="B115" s="111"/>
      <c r="C115" s="111"/>
      <c r="D115" s="115"/>
      <c r="E115" s="115" t="s">
        <v>696</v>
      </c>
      <c r="F115" s="111"/>
      <c r="G115" s="116">
        <f>1267.4*1*2.59*0.5</f>
        <v>1641.283</v>
      </c>
      <c r="H115" s="111"/>
      <c r="I115" s="111"/>
    </row>
    <row r="116" spans="1:9" ht="12.75">
      <c r="A116" s="111"/>
      <c r="B116" s="111"/>
      <c r="C116" s="111"/>
      <c r="D116" s="117"/>
      <c r="E116" s="117" t="s">
        <v>606</v>
      </c>
      <c r="F116" s="111"/>
      <c r="G116" s="119"/>
      <c r="H116" s="111"/>
      <c r="I116" s="111"/>
    </row>
    <row r="117" spans="1:9" ht="12.75">
      <c r="A117" s="111"/>
      <c r="B117" s="111"/>
      <c r="C117" s="111"/>
      <c r="D117" s="115"/>
      <c r="E117" s="115" t="s">
        <v>695</v>
      </c>
      <c r="F117" s="111"/>
      <c r="G117" s="116">
        <f>1267.4*1*0.1*-1</f>
        <v>-126.74</v>
      </c>
      <c r="H117" s="111"/>
      <c r="I117" s="111"/>
    </row>
    <row r="118" spans="1:9" ht="12.75">
      <c r="A118" s="111"/>
      <c r="B118" s="111"/>
      <c r="C118" s="111"/>
      <c r="D118" s="117"/>
      <c r="E118" s="117" t="s">
        <v>601</v>
      </c>
      <c r="F118" s="111"/>
      <c r="G118" s="119"/>
      <c r="H118" s="111"/>
      <c r="I118" s="111"/>
    </row>
    <row r="119" spans="1:9" ht="12.75">
      <c r="A119" s="111"/>
      <c r="B119" s="111"/>
      <c r="C119" s="111"/>
      <c r="D119" s="115"/>
      <c r="E119" s="115" t="s">
        <v>697</v>
      </c>
      <c r="F119" s="111"/>
      <c r="G119" s="116">
        <f>-1267.4*1*0.65</f>
        <v>-823.81</v>
      </c>
      <c r="H119" s="111"/>
      <c r="I119" s="111"/>
    </row>
    <row r="120" spans="1:9" ht="12.75">
      <c r="A120" s="111"/>
      <c r="B120" s="111"/>
      <c r="C120" s="111"/>
      <c r="D120" s="117"/>
      <c r="E120" s="117" t="s">
        <v>603</v>
      </c>
      <c r="F120" s="111"/>
      <c r="G120" s="119"/>
      <c r="H120" s="111"/>
      <c r="I120" s="111"/>
    </row>
    <row r="121" spans="1:9" ht="12.75">
      <c r="A121" s="111"/>
      <c r="B121" s="111"/>
      <c r="C121" s="111"/>
      <c r="D121" s="115"/>
      <c r="E121" s="115" t="s">
        <v>375</v>
      </c>
      <c r="F121" s="111"/>
      <c r="G121" s="116">
        <f>-28*3.14*0.62*0.62*2.79</f>
        <v>-94.292</v>
      </c>
      <c r="H121" s="111"/>
      <c r="I121" s="111"/>
    </row>
    <row r="122" spans="1:9" ht="12.75">
      <c r="A122" s="111"/>
      <c r="B122" s="111"/>
      <c r="C122" s="111"/>
      <c r="D122" s="117"/>
      <c r="E122" s="117" t="s">
        <v>593</v>
      </c>
      <c r="F122" s="111"/>
      <c r="G122" s="119"/>
      <c r="H122" s="111"/>
      <c r="I122" s="111"/>
    </row>
    <row r="123" spans="1:9" ht="12.75">
      <c r="A123" s="111"/>
      <c r="B123" s="111"/>
      <c r="C123" s="111"/>
      <c r="D123" s="115"/>
      <c r="E123" s="115" t="s">
        <v>694</v>
      </c>
      <c r="F123" s="111"/>
      <c r="G123" s="116">
        <f>29*2.2*1.2*2.79*0.3</f>
        <v>64.081</v>
      </c>
      <c r="H123" s="111"/>
      <c r="I123" s="111"/>
    </row>
    <row r="124" spans="1:9" ht="12.75">
      <c r="A124" s="106"/>
      <c r="B124" s="107" t="s">
        <v>488</v>
      </c>
      <c r="C124" s="106"/>
      <c r="D124" s="108" t="s">
        <v>36</v>
      </c>
      <c r="E124" s="108" t="s">
        <v>209</v>
      </c>
      <c r="F124" s="106"/>
      <c r="G124" s="106"/>
      <c r="H124" s="106"/>
      <c r="I124" s="109">
        <f>I125</f>
        <v>0</v>
      </c>
    </row>
    <row r="125" spans="1:9" ht="22.5">
      <c r="A125" s="110" t="s">
        <v>512</v>
      </c>
      <c r="B125" s="110" t="s">
        <v>489</v>
      </c>
      <c r="C125" s="110" t="s">
        <v>175</v>
      </c>
      <c r="D125" s="111" t="s">
        <v>210</v>
      </c>
      <c r="E125" s="112" t="s">
        <v>211</v>
      </c>
      <c r="F125" s="110" t="s">
        <v>75</v>
      </c>
      <c r="G125" s="113">
        <v>1267.4</v>
      </c>
      <c r="H125" s="114"/>
      <c r="I125" s="114">
        <f>ROUND(G125*H125,2)</f>
        <v>0</v>
      </c>
    </row>
    <row r="126" spans="1:9" ht="12.75">
      <c r="A126" s="106"/>
      <c r="B126" s="107" t="s">
        <v>488</v>
      </c>
      <c r="C126" s="106"/>
      <c r="D126" s="108" t="s">
        <v>86</v>
      </c>
      <c r="E126" s="108" t="s">
        <v>212</v>
      </c>
      <c r="F126" s="106"/>
      <c r="G126" s="106"/>
      <c r="H126" s="106"/>
      <c r="I126" s="109">
        <f>SUM(I127:I131)</f>
        <v>0</v>
      </c>
    </row>
    <row r="127" spans="1:9" ht="12.75">
      <c r="A127" s="110" t="s">
        <v>513</v>
      </c>
      <c r="B127" s="110" t="s">
        <v>489</v>
      </c>
      <c r="C127" s="110" t="s">
        <v>213</v>
      </c>
      <c r="D127" s="111" t="s">
        <v>221</v>
      </c>
      <c r="E127" s="112" t="s">
        <v>222</v>
      </c>
      <c r="F127" s="110" t="s">
        <v>129</v>
      </c>
      <c r="G127" s="113">
        <v>23.4</v>
      </c>
      <c r="H127" s="114"/>
      <c r="I127" s="114">
        <f>ROUND(G127*H127,2)</f>
        <v>0</v>
      </c>
    </row>
    <row r="128" spans="1:9" ht="12.75">
      <c r="A128" s="111"/>
      <c r="B128" s="111"/>
      <c r="C128" s="111"/>
      <c r="D128" s="115"/>
      <c r="E128" s="115" t="s">
        <v>376</v>
      </c>
      <c r="F128" s="111"/>
      <c r="G128" s="116">
        <v>23.4</v>
      </c>
      <c r="H128" s="111"/>
      <c r="I128" s="111"/>
    </row>
    <row r="129" spans="1:9" ht="12.75">
      <c r="A129" s="110" t="s">
        <v>516</v>
      </c>
      <c r="B129" s="110" t="s">
        <v>489</v>
      </c>
      <c r="C129" s="110" t="s">
        <v>213</v>
      </c>
      <c r="D129" s="111" t="s">
        <v>223</v>
      </c>
      <c r="E129" s="112" t="s">
        <v>224</v>
      </c>
      <c r="F129" s="110" t="s">
        <v>129</v>
      </c>
      <c r="G129" s="113">
        <v>23.4</v>
      </c>
      <c r="H129" s="114"/>
      <c r="I129" s="114">
        <f>ROUND(G129*H129,2)</f>
        <v>0</v>
      </c>
    </row>
    <row r="130" spans="1:9" ht="12.75">
      <c r="A130" s="110" t="s">
        <v>518</v>
      </c>
      <c r="B130" s="110" t="s">
        <v>489</v>
      </c>
      <c r="C130" s="110" t="s">
        <v>175</v>
      </c>
      <c r="D130" s="111" t="s">
        <v>218</v>
      </c>
      <c r="E130" s="112" t="s">
        <v>291</v>
      </c>
      <c r="F130" s="110" t="s">
        <v>103</v>
      </c>
      <c r="G130" s="113">
        <v>6.001</v>
      </c>
      <c r="H130" s="114"/>
      <c r="I130" s="114">
        <f>ROUND(G130*H130,2)</f>
        <v>0</v>
      </c>
    </row>
    <row r="131" spans="1:9" ht="12.75">
      <c r="A131" s="111"/>
      <c r="B131" s="111"/>
      <c r="C131" s="111"/>
      <c r="D131" s="115"/>
      <c r="E131" s="115" t="s">
        <v>377</v>
      </c>
      <c r="F131" s="111"/>
      <c r="G131" s="116">
        <v>6.001</v>
      </c>
      <c r="H131" s="111"/>
      <c r="I131" s="111"/>
    </row>
    <row r="132" spans="1:9" ht="12.75">
      <c r="A132" s="106"/>
      <c r="B132" s="107" t="s">
        <v>488</v>
      </c>
      <c r="C132" s="106"/>
      <c r="D132" s="108" t="s">
        <v>87</v>
      </c>
      <c r="E132" s="108" t="s">
        <v>294</v>
      </c>
      <c r="F132" s="106"/>
      <c r="G132" s="106"/>
      <c r="H132" s="106"/>
      <c r="I132" s="109">
        <f>SUM(I133:I239)</f>
        <v>0</v>
      </c>
    </row>
    <row r="133" spans="1:9" ht="12.75">
      <c r="A133" s="110" t="s">
        <v>232</v>
      </c>
      <c r="B133" s="110" t="s">
        <v>489</v>
      </c>
      <c r="C133" s="110" t="s">
        <v>295</v>
      </c>
      <c r="D133" s="111" t="s">
        <v>296</v>
      </c>
      <c r="E133" s="112" t="s">
        <v>297</v>
      </c>
      <c r="F133" s="110" t="s">
        <v>75</v>
      </c>
      <c r="G133" s="113">
        <v>1999.2</v>
      </c>
      <c r="H133" s="114"/>
      <c r="I133" s="114">
        <f>ROUND(G133*H133,2)</f>
        <v>0</v>
      </c>
    </row>
    <row r="134" spans="1:9" ht="12.75">
      <c r="A134" s="111"/>
      <c r="B134" s="111"/>
      <c r="C134" s="111"/>
      <c r="D134" s="117"/>
      <c r="E134" s="117" t="s">
        <v>607</v>
      </c>
      <c r="F134" s="111"/>
      <c r="G134" s="118"/>
      <c r="H134" s="111"/>
      <c r="I134" s="111"/>
    </row>
    <row r="135" spans="1:9" ht="12.75">
      <c r="A135" s="111"/>
      <c r="B135" s="111"/>
      <c r="C135" s="111"/>
      <c r="D135" s="115"/>
      <c r="E135" s="115" t="s">
        <v>378</v>
      </c>
      <c r="F135" s="111"/>
      <c r="G135" s="116">
        <v>1999.2</v>
      </c>
      <c r="H135" s="111"/>
      <c r="I135" s="111"/>
    </row>
    <row r="136" spans="1:9" ht="12.75">
      <c r="A136" s="110" t="s">
        <v>521</v>
      </c>
      <c r="B136" s="110" t="s">
        <v>489</v>
      </c>
      <c r="C136" s="110" t="s">
        <v>295</v>
      </c>
      <c r="D136" s="111" t="s">
        <v>299</v>
      </c>
      <c r="E136" s="112" t="s">
        <v>300</v>
      </c>
      <c r="F136" s="110" t="s">
        <v>129</v>
      </c>
      <c r="G136" s="113">
        <f>G140+G144+G146+G148+G142</f>
        <v>681.12</v>
      </c>
      <c r="H136" s="114"/>
      <c r="I136" s="114">
        <f>ROUND(G136*H136,2)</f>
        <v>0</v>
      </c>
    </row>
    <row r="137" spans="1:9" ht="12.75">
      <c r="A137" s="111"/>
      <c r="B137" s="111"/>
      <c r="C137" s="111"/>
      <c r="D137" s="117"/>
      <c r="E137" s="117" t="s">
        <v>307</v>
      </c>
      <c r="F137" s="111"/>
      <c r="G137" s="118"/>
      <c r="H137" s="111"/>
      <c r="I137" s="111"/>
    </row>
    <row r="138" spans="1:9" ht="12.75">
      <c r="A138" s="111"/>
      <c r="B138" s="111"/>
      <c r="C138" s="111"/>
      <c r="D138" s="117"/>
      <c r="E138" s="117" t="s">
        <v>579</v>
      </c>
      <c r="F138" s="111"/>
      <c r="G138" s="118"/>
      <c r="H138" s="111"/>
      <c r="I138" s="111"/>
    </row>
    <row r="139" spans="1:9" ht="12.75">
      <c r="A139" s="111"/>
      <c r="B139" s="111"/>
      <c r="C139" s="111"/>
      <c r="D139" s="117"/>
      <c r="E139" s="117" t="s">
        <v>57</v>
      </c>
      <c r="F139" s="111"/>
      <c r="G139" s="118"/>
      <c r="H139" s="111"/>
      <c r="I139" s="111"/>
    </row>
    <row r="140" spans="1:9" ht="12.75">
      <c r="A140" s="111"/>
      <c r="B140" s="111"/>
      <c r="C140" s="111"/>
      <c r="D140" s="115"/>
      <c r="E140" s="115" t="s">
        <v>731</v>
      </c>
      <c r="F140" s="111"/>
      <c r="G140" s="116">
        <f>505*1.2+(2.4*1.2)*16</f>
        <v>652.08</v>
      </c>
      <c r="H140" s="111"/>
      <c r="I140" s="111"/>
    </row>
    <row r="141" spans="1:9" ht="12.75">
      <c r="A141" s="111"/>
      <c r="B141" s="111"/>
      <c r="C141" s="111"/>
      <c r="D141" s="117"/>
      <c r="E141" s="117" t="s">
        <v>588</v>
      </c>
      <c r="F141" s="111"/>
      <c r="G141" s="119"/>
      <c r="H141" s="111"/>
      <c r="I141" s="111"/>
    </row>
    <row r="142" spans="1:9" ht="12.75">
      <c r="A142" s="111"/>
      <c r="B142" s="111"/>
      <c r="C142" s="111"/>
      <c r="D142" s="117"/>
      <c r="E142" s="115" t="s">
        <v>732</v>
      </c>
      <c r="F142" s="111"/>
      <c r="G142" s="116">
        <f>8*1.2+(2.4*1.2)*1</f>
        <v>12.48</v>
      </c>
      <c r="H142" s="111"/>
      <c r="I142" s="111"/>
    </row>
    <row r="143" spans="1:9" ht="12.75">
      <c r="A143" s="111"/>
      <c r="B143" s="111"/>
      <c r="C143" s="111"/>
      <c r="D143" s="117"/>
      <c r="E143" s="117" t="s">
        <v>590</v>
      </c>
      <c r="F143" s="111"/>
      <c r="G143" s="119"/>
      <c r="H143" s="111"/>
      <c r="I143" s="111"/>
    </row>
    <row r="144" spans="1:9" ht="12.75">
      <c r="A144" s="111"/>
      <c r="B144" s="111"/>
      <c r="C144" s="111"/>
      <c r="D144" s="115"/>
      <c r="E144" s="115" t="s">
        <v>728</v>
      </c>
      <c r="F144" s="111"/>
      <c r="G144" s="116">
        <f>2*1.2</f>
        <v>2.4</v>
      </c>
      <c r="H144" s="111"/>
      <c r="I144" s="111"/>
    </row>
    <row r="145" spans="1:9" ht="12.75">
      <c r="A145" s="111"/>
      <c r="B145" s="111"/>
      <c r="C145" s="111"/>
      <c r="D145" s="117"/>
      <c r="E145" s="117" t="s">
        <v>591</v>
      </c>
      <c r="F145" s="111"/>
      <c r="G145" s="119"/>
      <c r="H145" s="111"/>
      <c r="I145" s="111"/>
    </row>
    <row r="146" spans="1:9" ht="12.75">
      <c r="A146" s="111"/>
      <c r="B146" s="111"/>
      <c r="C146" s="111"/>
      <c r="D146" s="115"/>
      <c r="E146" s="115" t="s">
        <v>730</v>
      </c>
      <c r="F146" s="111"/>
      <c r="G146" s="116">
        <f>3*1.2+(2.4*1.2)*1</f>
        <v>6.48</v>
      </c>
      <c r="H146" s="111"/>
      <c r="I146" s="111"/>
    </row>
    <row r="147" spans="1:9" ht="12.75">
      <c r="A147" s="111"/>
      <c r="B147" s="111"/>
      <c r="C147" s="111"/>
      <c r="D147" s="117"/>
      <c r="E147" s="117" t="s">
        <v>592</v>
      </c>
      <c r="F147" s="111"/>
      <c r="G147" s="119"/>
      <c r="H147" s="111"/>
      <c r="I147" s="111"/>
    </row>
    <row r="148" spans="1:9" ht="12.75">
      <c r="A148" s="111"/>
      <c r="B148" s="111"/>
      <c r="C148" s="111"/>
      <c r="D148" s="115"/>
      <c r="E148" s="115" t="s">
        <v>729</v>
      </c>
      <c r="F148" s="111"/>
      <c r="G148" s="116">
        <f>4*1.2+(2.4*1.2)*1</f>
        <v>7.68</v>
      </c>
      <c r="H148" s="111"/>
      <c r="I148" s="111"/>
    </row>
    <row r="149" spans="1:9" ht="12.75">
      <c r="A149" s="110" t="s">
        <v>234</v>
      </c>
      <c r="B149" s="110" t="s">
        <v>489</v>
      </c>
      <c r="C149" s="110" t="s">
        <v>295</v>
      </c>
      <c r="D149" s="111" t="s">
        <v>302</v>
      </c>
      <c r="E149" s="112" t="s">
        <v>303</v>
      </c>
      <c r="F149" s="110" t="s">
        <v>129</v>
      </c>
      <c r="G149" s="113">
        <f>G151</f>
        <v>681.12</v>
      </c>
      <c r="H149" s="114"/>
      <c r="I149" s="114">
        <f>ROUND(G149*H149,2)</f>
        <v>0</v>
      </c>
    </row>
    <row r="150" spans="1:9" ht="12.75">
      <c r="A150" s="111"/>
      <c r="B150" s="111"/>
      <c r="C150" s="111"/>
      <c r="D150" s="117"/>
      <c r="E150" s="117" t="s">
        <v>307</v>
      </c>
      <c r="F150" s="111"/>
      <c r="G150" s="118"/>
      <c r="H150" s="111"/>
      <c r="I150" s="111"/>
    </row>
    <row r="151" spans="1:9" ht="12.75">
      <c r="A151" s="111"/>
      <c r="B151" s="111"/>
      <c r="C151" s="111"/>
      <c r="D151" s="115"/>
      <c r="E151" s="115">
        <v>681.12</v>
      </c>
      <c r="F151" s="111"/>
      <c r="G151" s="132">
        <f>E151</f>
        <v>681.12</v>
      </c>
      <c r="H151" s="111"/>
      <c r="I151" s="111"/>
    </row>
    <row r="152" spans="1:9" ht="12.75">
      <c r="A152" s="110" t="s">
        <v>523</v>
      </c>
      <c r="B152" s="110" t="s">
        <v>489</v>
      </c>
      <c r="C152" s="110" t="s">
        <v>295</v>
      </c>
      <c r="D152" s="111" t="s">
        <v>306</v>
      </c>
      <c r="E152" s="112" t="s">
        <v>379</v>
      </c>
      <c r="F152" s="110" t="s">
        <v>129</v>
      </c>
      <c r="G152" s="113">
        <f>G155+G157+G159+G161+G163+G166+G168+G170+G172+G174+G176+G178</f>
        <v>1297.44</v>
      </c>
      <c r="H152" s="114"/>
      <c r="I152" s="114">
        <f>ROUND(G152*H152,2)</f>
        <v>0</v>
      </c>
    </row>
    <row r="153" spans="1:9" ht="12.75">
      <c r="A153" s="111"/>
      <c r="B153" s="111"/>
      <c r="C153" s="111"/>
      <c r="D153" s="117"/>
      <c r="E153" s="117" t="s">
        <v>579</v>
      </c>
      <c r="F153" s="111"/>
      <c r="G153" s="118"/>
      <c r="H153" s="111"/>
      <c r="I153" s="111"/>
    </row>
    <row r="154" spans="1:9" ht="12.75">
      <c r="A154" s="111"/>
      <c r="B154" s="111"/>
      <c r="C154" s="111"/>
      <c r="D154" s="117"/>
      <c r="E154" s="117" t="s">
        <v>57</v>
      </c>
      <c r="F154" s="111"/>
      <c r="G154" s="118"/>
      <c r="H154" s="111"/>
      <c r="I154" s="111"/>
    </row>
    <row r="155" spans="1:9" ht="12.75">
      <c r="A155" s="111"/>
      <c r="B155" s="111"/>
      <c r="C155" s="111"/>
      <c r="D155" s="115"/>
      <c r="E155" s="115" t="s">
        <v>731</v>
      </c>
      <c r="F155" s="111"/>
      <c r="G155" s="116">
        <f>505*1.2+(2.4*1.2)*16</f>
        <v>652.08</v>
      </c>
      <c r="H155" s="111"/>
      <c r="I155" s="111"/>
    </row>
    <row r="156" spans="1:9" ht="12.75">
      <c r="A156" s="111"/>
      <c r="B156" s="111"/>
      <c r="C156" s="111"/>
      <c r="D156" s="117"/>
      <c r="E156" s="117" t="s">
        <v>588</v>
      </c>
      <c r="F156" s="111"/>
      <c r="G156" s="119"/>
      <c r="H156" s="111"/>
      <c r="I156" s="111"/>
    </row>
    <row r="157" spans="1:9" ht="12.75">
      <c r="A157" s="111"/>
      <c r="B157" s="111"/>
      <c r="C157" s="111"/>
      <c r="D157" s="115"/>
      <c r="E157" s="115" t="s">
        <v>732</v>
      </c>
      <c r="F157" s="111"/>
      <c r="G157" s="116">
        <f>8*1.2+(2.4*1.2)*1</f>
        <v>12.48</v>
      </c>
      <c r="H157" s="111"/>
      <c r="I157" s="111"/>
    </row>
    <row r="158" spans="1:9" ht="12.75">
      <c r="A158" s="111"/>
      <c r="B158" s="111"/>
      <c r="C158" s="111"/>
      <c r="D158" s="117"/>
      <c r="E158" s="117" t="s">
        <v>590</v>
      </c>
      <c r="F158" s="111"/>
      <c r="G158" s="119"/>
      <c r="H158" s="111"/>
      <c r="I158" s="111"/>
    </row>
    <row r="159" spans="1:9" ht="12.75">
      <c r="A159" s="111"/>
      <c r="B159" s="111"/>
      <c r="C159" s="111"/>
      <c r="D159" s="115"/>
      <c r="E159" s="115" t="s">
        <v>728</v>
      </c>
      <c r="F159" s="111"/>
      <c r="G159" s="116">
        <f>2*1.2</f>
        <v>2.4</v>
      </c>
      <c r="H159" s="111"/>
      <c r="I159" s="111"/>
    </row>
    <row r="160" spans="1:9" ht="12.75">
      <c r="A160" s="111"/>
      <c r="B160" s="111"/>
      <c r="C160" s="111"/>
      <c r="D160" s="117"/>
      <c r="E160" s="117" t="s">
        <v>591</v>
      </c>
      <c r="F160" s="111"/>
      <c r="G160" s="119"/>
      <c r="H160" s="111"/>
      <c r="I160" s="111"/>
    </row>
    <row r="161" spans="1:9" ht="12.75">
      <c r="A161" s="111"/>
      <c r="B161" s="111"/>
      <c r="C161" s="111"/>
      <c r="D161" s="115"/>
      <c r="E161" s="115" t="s">
        <v>730</v>
      </c>
      <c r="F161" s="111"/>
      <c r="G161" s="116">
        <f>3*1.2+(2.4*1.2)*1</f>
        <v>6.48</v>
      </c>
      <c r="H161" s="111"/>
      <c r="I161" s="111"/>
    </row>
    <row r="162" spans="1:9" ht="12.75">
      <c r="A162" s="111"/>
      <c r="B162" s="111"/>
      <c r="C162" s="111"/>
      <c r="D162" s="117"/>
      <c r="E162" s="117" t="s">
        <v>592</v>
      </c>
      <c r="F162" s="111"/>
      <c r="G162" s="119"/>
      <c r="H162" s="111"/>
      <c r="I162" s="111"/>
    </row>
    <row r="163" spans="1:9" ht="12.75">
      <c r="A163" s="111"/>
      <c r="B163" s="111"/>
      <c r="C163" s="111"/>
      <c r="D163" s="115"/>
      <c r="E163" s="115" t="s">
        <v>729</v>
      </c>
      <c r="F163" s="111"/>
      <c r="G163" s="116">
        <f>4*1.2+(2.4*1.2)*1</f>
        <v>7.68</v>
      </c>
      <c r="H163" s="111"/>
      <c r="I163" s="111"/>
    </row>
    <row r="164" spans="1:9" ht="12.75">
      <c r="A164" s="111"/>
      <c r="B164" s="111"/>
      <c r="C164" s="111"/>
      <c r="D164" s="117"/>
      <c r="E164" s="117" t="s">
        <v>608</v>
      </c>
      <c r="F164" s="111"/>
      <c r="G164" s="119"/>
      <c r="H164" s="111"/>
      <c r="I164" s="111"/>
    </row>
    <row r="165" spans="1:9" ht="12.75">
      <c r="A165" s="111"/>
      <c r="B165" s="111"/>
      <c r="C165" s="111"/>
      <c r="D165" s="117"/>
      <c r="E165" s="117" t="s">
        <v>57</v>
      </c>
      <c r="F165" s="111"/>
      <c r="G165" s="119"/>
      <c r="H165" s="111"/>
      <c r="I165" s="111"/>
    </row>
    <row r="166" spans="1:9" ht="12.75">
      <c r="A166" s="111"/>
      <c r="B166" s="111"/>
      <c r="C166" s="111"/>
      <c r="D166" s="115"/>
      <c r="E166" s="115" t="s">
        <v>739</v>
      </c>
      <c r="F166" s="111"/>
      <c r="G166" s="116">
        <f>175*1.2+(2.4*1.2)*7</f>
        <v>230.16</v>
      </c>
      <c r="H166" s="111"/>
      <c r="I166" s="111"/>
    </row>
    <row r="167" spans="1:9" ht="12.75">
      <c r="A167" s="111"/>
      <c r="B167" s="111"/>
      <c r="C167" s="111"/>
      <c r="D167" s="117"/>
      <c r="E167" s="117" t="s">
        <v>587</v>
      </c>
      <c r="F167" s="111"/>
      <c r="G167" s="119"/>
      <c r="H167" s="111"/>
      <c r="I167" s="111"/>
    </row>
    <row r="168" spans="1:9" ht="12.75">
      <c r="A168" s="111"/>
      <c r="B168" s="111"/>
      <c r="C168" s="111"/>
      <c r="D168" s="115"/>
      <c r="E168" s="115" t="s">
        <v>738</v>
      </c>
      <c r="F168" s="111"/>
      <c r="G168" s="116">
        <f>40*1.2+(2.4*1.2)*1</f>
        <v>50.88</v>
      </c>
      <c r="H168" s="111"/>
      <c r="I168" s="111"/>
    </row>
    <row r="169" spans="1:9" ht="12.75">
      <c r="A169" s="111"/>
      <c r="B169" s="111"/>
      <c r="C169" s="111"/>
      <c r="D169" s="117"/>
      <c r="E169" s="117" t="s">
        <v>588</v>
      </c>
      <c r="F169" s="111"/>
      <c r="G169" s="119"/>
      <c r="H169" s="111"/>
      <c r="I169" s="111"/>
    </row>
    <row r="170" spans="1:9" ht="12.75">
      <c r="A170" s="111"/>
      <c r="B170" s="111"/>
      <c r="C170" s="111"/>
      <c r="D170" s="115"/>
      <c r="E170" s="115" t="s">
        <v>737</v>
      </c>
      <c r="F170" s="111"/>
      <c r="G170" s="116">
        <f>53.3*1.2+(2.4*1.2)*1</f>
        <v>66.84</v>
      </c>
      <c r="H170" s="111"/>
      <c r="I170" s="111"/>
    </row>
    <row r="171" spans="1:9" ht="12.75">
      <c r="A171" s="111"/>
      <c r="B171" s="111"/>
      <c r="C171" s="111"/>
      <c r="D171" s="117"/>
      <c r="E171" s="117" t="s">
        <v>589</v>
      </c>
      <c r="F171" s="111"/>
      <c r="G171" s="119"/>
      <c r="H171" s="111"/>
      <c r="I171" s="111"/>
    </row>
    <row r="172" spans="1:9" ht="12.75">
      <c r="A172" s="111"/>
      <c r="B172" s="111"/>
      <c r="C172" s="111"/>
      <c r="D172" s="115"/>
      <c r="E172" s="115" t="s">
        <v>736</v>
      </c>
      <c r="F172" s="111"/>
      <c r="G172" s="116">
        <f>47.4*1.2+(2.4*1.2)*1</f>
        <v>59.76</v>
      </c>
      <c r="H172" s="111"/>
      <c r="I172" s="111"/>
    </row>
    <row r="173" spans="1:9" ht="12.75">
      <c r="A173" s="111"/>
      <c r="B173" s="111"/>
      <c r="C173" s="111"/>
      <c r="D173" s="117"/>
      <c r="E173" s="117" t="s">
        <v>590</v>
      </c>
      <c r="F173" s="111"/>
      <c r="G173" s="119"/>
      <c r="H173" s="111"/>
      <c r="I173" s="111"/>
    </row>
    <row r="174" spans="1:9" ht="12.75">
      <c r="A174" s="111"/>
      <c r="B174" s="111"/>
      <c r="C174" s="111"/>
      <c r="D174" s="115"/>
      <c r="E174" s="115" t="s">
        <v>735</v>
      </c>
      <c r="F174" s="111"/>
      <c r="G174" s="116">
        <f>24.8*1.2+(2.4*1.2)*2</f>
        <v>35.52</v>
      </c>
      <c r="H174" s="111"/>
      <c r="I174" s="111"/>
    </row>
    <row r="175" spans="1:9" ht="12.75">
      <c r="A175" s="111"/>
      <c r="B175" s="111"/>
      <c r="C175" s="111"/>
      <c r="D175" s="117"/>
      <c r="E175" s="117" t="s">
        <v>591</v>
      </c>
      <c r="F175" s="111"/>
      <c r="G175" s="119"/>
      <c r="H175" s="111"/>
      <c r="I175" s="111"/>
    </row>
    <row r="176" spans="1:9" ht="12.75">
      <c r="A176" s="111"/>
      <c r="B176" s="111"/>
      <c r="C176" s="111"/>
      <c r="D176" s="115"/>
      <c r="E176" s="115" t="s">
        <v>734</v>
      </c>
      <c r="F176" s="111"/>
      <c r="G176" s="116">
        <f>29.1*1.2+(2.4*1.2)*1</f>
        <v>37.8</v>
      </c>
      <c r="H176" s="111"/>
      <c r="I176" s="111"/>
    </row>
    <row r="177" spans="1:9" ht="12.75">
      <c r="A177" s="111"/>
      <c r="B177" s="111"/>
      <c r="C177" s="111"/>
      <c r="D177" s="117"/>
      <c r="E177" s="117" t="s">
        <v>592</v>
      </c>
      <c r="F177" s="111"/>
      <c r="G177" s="119"/>
      <c r="H177" s="111"/>
      <c r="I177" s="111"/>
    </row>
    <row r="178" spans="1:9" ht="12.75">
      <c r="A178" s="111"/>
      <c r="B178" s="111"/>
      <c r="C178" s="111"/>
      <c r="D178" s="115"/>
      <c r="E178" s="115" t="s">
        <v>733</v>
      </c>
      <c r="F178" s="111"/>
      <c r="G178" s="116">
        <f>108*1.2+(2.4*1.2)*2</f>
        <v>135.36</v>
      </c>
      <c r="H178" s="111"/>
      <c r="I178" s="111"/>
    </row>
    <row r="179" spans="1:9" ht="12.75">
      <c r="A179" s="110" t="s">
        <v>236</v>
      </c>
      <c r="B179" s="110" t="s">
        <v>489</v>
      </c>
      <c r="C179" s="110" t="s">
        <v>295</v>
      </c>
      <c r="D179" s="111" t="s">
        <v>311</v>
      </c>
      <c r="E179" s="112" t="s">
        <v>312</v>
      </c>
      <c r="F179" s="110" t="s">
        <v>129</v>
      </c>
      <c r="G179" s="113">
        <f>G181</f>
        <v>1297.44</v>
      </c>
      <c r="H179" s="114"/>
      <c r="I179" s="114">
        <f>ROUND(G179*H179,2)</f>
        <v>0</v>
      </c>
    </row>
    <row r="180" spans="1:9" ht="12.75">
      <c r="A180" s="111"/>
      <c r="B180" s="111"/>
      <c r="C180" s="111"/>
      <c r="D180" s="117"/>
      <c r="E180" s="117" t="s">
        <v>313</v>
      </c>
      <c r="F180" s="111"/>
      <c r="G180" s="118"/>
      <c r="H180" s="111"/>
      <c r="I180" s="111"/>
    </row>
    <row r="181" spans="1:9" ht="12.75">
      <c r="A181" s="111"/>
      <c r="B181" s="111"/>
      <c r="C181" s="111"/>
      <c r="D181" s="115"/>
      <c r="E181" s="115">
        <v>1297.44</v>
      </c>
      <c r="F181" s="111"/>
      <c r="G181" s="132">
        <v>1297.44</v>
      </c>
      <c r="H181" s="111"/>
      <c r="I181" s="111"/>
    </row>
    <row r="182" spans="1:9" ht="12.75">
      <c r="A182" s="110" t="s">
        <v>524</v>
      </c>
      <c r="B182" s="110" t="s">
        <v>489</v>
      </c>
      <c r="C182" s="110" t="s">
        <v>295</v>
      </c>
      <c r="D182" s="111" t="s">
        <v>326</v>
      </c>
      <c r="E182" s="112" t="s">
        <v>327</v>
      </c>
      <c r="F182" s="110" t="s">
        <v>129</v>
      </c>
      <c r="G182" s="113">
        <f>G186+G188+G190+G192+G194+G196+G198</f>
        <v>616.32</v>
      </c>
      <c r="H182" s="114"/>
      <c r="I182" s="114">
        <f>ROUND(G182*H182,2)</f>
        <v>0</v>
      </c>
    </row>
    <row r="183" spans="1:9" ht="12.75">
      <c r="A183" s="111"/>
      <c r="B183" s="111"/>
      <c r="C183" s="111"/>
      <c r="D183" s="117"/>
      <c r="E183" s="117" t="s">
        <v>341</v>
      </c>
      <c r="F183" s="111"/>
      <c r="G183" s="118"/>
      <c r="H183" s="111"/>
      <c r="I183" s="111"/>
    </row>
    <row r="184" spans="1:9" ht="12.75">
      <c r="A184" s="111"/>
      <c r="B184" s="111"/>
      <c r="C184" s="111"/>
      <c r="D184" s="117"/>
      <c r="E184" s="117" t="s">
        <v>608</v>
      </c>
      <c r="F184" s="111"/>
      <c r="G184" s="118"/>
      <c r="H184" s="111"/>
      <c r="I184" s="111"/>
    </row>
    <row r="185" spans="1:9" ht="12.75">
      <c r="A185" s="111"/>
      <c r="B185" s="111"/>
      <c r="C185" s="111"/>
      <c r="D185" s="117"/>
      <c r="E185" s="117" t="s">
        <v>57</v>
      </c>
      <c r="F185" s="111"/>
      <c r="G185" s="119"/>
      <c r="H185" s="111"/>
      <c r="I185" s="111"/>
    </row>
    <row r="186" spans="1:9" ht="12.75">
      <c r="A186" s="111"/>
      <c r="B186" s="111"/>
      <c r="C186" s="111"/>
      <c r="D186" s="115"/>
      <c r="E186" s="115" t="s">
        <v>739</v>
      </c>
      <c r="F186" s="111"/>
      <c r="G186" s="116">
        <f>175*1.2+(2.4*1.2)*7</f>
        <v>230.16</v>
      </c>
      <c r="H186" s="111"/>
      <c r="I186" s="111"/>
    </row>
    <row r="187" spans="1:9" ht="12.75">
      <c r="A187" s="111"/>
      <c r="B187" s="111"/>
      <c r="C187" s="111"/>
      <c r="D187" s="117"/>
      <c r="E187" s="117" t="s">
        <v>587</v>
      </c>
      <c r="F187" s="111"/>
      <c r="G187" s="119"/>
      <c r="H187" s="111"/>
      <c r="I187" s="111"/>
    </row>
    <row r="188" spans="1:9" ht="12.75">
      <c r="A188" s="111"/>
      <c r="B188" s="111"/>
      <c r="C188" s="111"/>
      <c r="D188" s="115"/>
      <c r="E188" s="115" t="s">
        <v>738</v>
      </c>
      <c r="F188" s="111"/>
      <c r="G188" s="116">
        <f>40*1.2+(2.4*1.2)*1</f>
        <v>50.88</v>
      </c>
      <c r="H188" s="111"/>
      <c r="I188" s="111"/>
    </row>
    <row r="189" spans="1:9" ht="12.75">
      <c r="A189" s="111"/>
      <c r="B189" s="111"/>
      <c r="C189" s="111"/>
      <c r="D189" s="117"/>
      <c r="E189" s="117" t="s">
        <v>588</v>
      </c>
      <c r="F189" s="111"/>
      <c r="G189" s="119"/>
      <c r="H189" s="111"/>
      <c r="I189" s="111"/>
    </row>
    <row r="190" spans="1:9" ht="12.75">
      <c r="A190" s="111"/>
      <c r="B190" s="111"/>
      <c r="C190" s="111"/>
      <c r="D190" s="115"/>
      <c r="E190" s="115" t="s">
        <v>737</v>
      </c>
      <c r="F190" s="111"/>
      <c r="G190" s="116">
        <f>53.3*1.2+(2.4*1.2)*1</f>
        <v>66.84</v>
      </c>
      <c r="H190" s="111"/>
      <c r="I190" s="111"/>
    </row>
    <row r="191" spans="1:9" ht="12.75">
      <c r="A191" s="111"/>
      <c r="B191" s="111"/>
      <c r="C191" s="111"/>
      <c r="D191" s="117"/>
      <c r="E191" s="117" t="s">
        <v>589</v>
      </c>
      <c r="F191" s="111"/>
      <c r="G191" s="119"/>
      <c r="H191" s="111"/>
      <c r="I191" s="111"/>
    </row>
    <row r="192" spans="1:9" ht="12.75">
      <c r="A192" s="111"/>
      <c r="B192" s="111"/>
      <c r="C192" s="111"/>
      <c r="D192" s="115"/>
      <c r="E192" s="115" t="s">
        <v>736</v>
      </c>
      <c r="F192" s="111"/>
      <c r="G192" s="116">
        <f>47.4*1.2+(2.4*1.2)*1</f>
        <v>59.76</v>
      </c>
      <c r="H192" s="111"/>
      <c r="I192" s="111"/>
    </row>
    <row r="193" spans="1:9" ht="12.75">
      <c r="A193" s="111"/>
      <c r="B193" s="111"/>
      <c r="C193" s="111"/>
      <c r="D193" s="117"/>
      <c r="E193" s="117" t="s">
        <v>590</v>
      </c>
      <c r="F193" s="111"/>
      <c r="G193" s="119"/>
      <c r="H193" s="111"/>
      <c r="I193" s="111"/>
    </row>
    <row r="194" spans="1:9" ht="12.75">
      <c r="A194" s="111"/>
      <c r="B194" s="111"/>
      <c r="C194" s="111"/>
      <c r="D194" s="115"/>
      <c r="E194" s="115" t="s">
        <v>735</v>
      </c>
      <c r="F194" s="111"/>
      <c r="G194" s="116">
        <f>24.8*1.2+(2.4*1.2)*2</f>
        <v>35.52</v>
      </c>
      <c r="H194" s="111"/>
      <c r="I194" s="111"/>
    </row>
    <row r="195" spans="1:9" ht="12.75">
      <c r="A195" s="111"/>
      <c r="B195" s="111"/>
      <c r="C195" s="111"/>
      <c r="D195" s="117"/>
      <c r="E195" s="117" t="s">
        <v>591</v>
      </c>
      <c r="F195" s="111"/>
      <c r="G195" s="119"/>
      <c r="H195" s="111"/>
      <c r="I195" s="111"/>
    </row>
    <row r="196" spans="1:9" ht="12.75">
      <c r="A196" s="111"/>
      <c r="B196" s="111"/>
      <c r="C196" s="111"/>
      <c r="D196" s="115"/>
      <c r="E196" s="115" t="s">
        <v>734</v>
      </c>
      <c r="F196" s="111"/>
      <c r="G196" s="116">
        <f>29.1*1.2+(2.4*1.2)*1</f>
        <v>37.8</v>
      </c>
      <c r="H196" s="111"/>
      <c r="I196" s="111"/>
    </row>
    <row r="197" spans="1:9" ht="12.75">
      <c r="A197" s="111"/>
      <c r="B197" s="111"/>
      <c r="C197" s="111"/>
      <c r="D197" s="117"/>
      <c r="E197" s="117" t="s">
        <v>592</v>
      </c>
      <c r="F197" s="111"/>
      <c r="G197" s="119"/>
      <c r="H197" s="111"/>
      <c r="I197" s="111"/>
    </row>
    <row r="198" spans="1:9" ht="12.75">
      <c r="A198" s="111"/>
      <c r="B198" s="111"/>
      <c r="C198" s="111"/>
      <c r="D198" s="115"/>
      <c r="E198" s="115" t="s">
        <v>733</v>
      </c>
      <c r="F198" s="111"/>
      <c r="G198" s="116">
        <f>108*1.2+(2.4*1.2)*2</f>
        <v>135.36</v>
      </c>
      <c r="H198" s="111"/>
      <c r="I198" s="111"/>
    </row>
    <row r="199" spans="1:9" ht="12.75">
      <c r="A199" s="110" t="s">
        <v>289</v>
      </c>
      <c r="B199" s="110" t="s">
        <v>489</v>
      </c>
      <c r="C199" s="110" t="s">
        <v>295</v>
      </c>
      <c r="D199" s="111" t="s">
        <v>329</v>
      </c>
      <c r="E199" s="112" t="s">
        <v>330</v>
      </c>
      <c r="F199" s="110" t="s">
        <v>129</v>
      </c>
      <c r="G199" s="113">
        <f>G182</f>
        <v>616.32</v>
      </c>
      <c r="H199" s="114"/>
      <c r="I199" s="114">
        <f>ROUND(G199*H199,2)</f>
        <v>0</v>
      </c>
    </row>
    <row r="200" spans="1:9" ht="12.75">
      <c r="A200" s="110" t="s">
        <v>527</v>
      </c>
      <c r="B200" s="110" t="s">
        <v>489</v>
      </c>
      <c r="C200" s="110" t="s">
        <v>295</v>
      </c>
      <c r="D200" s="111" t="s">
        <v>332</v>
      </c>
      <c r="E200" s="112" t="s">
        <v>333</v>
      </c>
      <c r="F200" s="110" t="s">
        <v>129</v>
      </c>
      <c r="G200" s="113">
        <f>G203+G205+G207+G209+G211</f>
        <v>681.12</v>
      </c>
      <c r="H200" s="114"/>
      <c r="I200" s="114">
        <f>ROUND(G200*H200,2)</f>
        <v>0</v>
      </c>
    </row>
    <row r="201" spans="1:9" ht="12.75">
      <c r="A201" s="111"/>
      <c r="B201" s="111"/>
      <c r="C201" s="111"/>
      <c r="D201" s="117"/>
      <c r="E201" s="117" t="s">
        <v>579</v>
      </c>
      <c r="F201" s="111"/>
      <c r="G201" s="118"/>
      <c r="H201" s="111"/>
      <c r="I201" s="111"/>
    </row>
    <row r="202" spans="1:9" ht="12.75">
      <c r="A202" s="111"/>
      <c r="B202" s="111"/>
      <c r="C202" s="111"/>
      <c r="D202" s="117"/>
      <c r="E202" s="117" t="s">
        <v>57</v>
      </c>
      <c r="F202" s="111"/>
      <c r="G202" s="118"/>
      <c r="H202" s="111"/>
      <c r="I202" s="111"/>
    </row>
    <row r="203" spans="1:9" ht="12.75">
      <c r="A203" s="111"/>
      <c r="B203" s="111"/>
      <c r="C203" s="111"/>
      <c r="D203" s="115"/>
      <c r="E203" s="115" t="s">
        <v>731</v>
      </c>
      <c r="F203" s="111"/>
      <c r="G203" s="116">
        <f>505*1.2+(2.4*1.2)*16</f>
        <v>652.08</v>
      </c>
      <c r="H203" s="111"/>
      <c r="I203" s="111"/>
    </row>
    <row r="204" spans="1:9" ht="12.75">
      <c r="A204" s="111"/>
      <c r="B204" s="111"/>
      <c r="C204" s="111"/>
      <c r="D204" s="117"/>
      <c r="E204" s="117" t="s">
        <v>588</v>
      </c>
      <c r="F204" s="111"/>
      <c r="G204" s="119"/>
      <c r="H204" s="111"/>
      <c r="I204" s="111"/>
    </row>
    <row r="205" spans="1:9" ht="12.75">
      <c r="A205" s="111"/>
      <c r="B205" s="111"/>
      <c r="C205" s="111"/>
      <c r="D205" s="115"/>
      <c r="E205" s="115" t="s">
        <v>732</v>
      </c>
      <c r="F205" s="111"/>
      <c r="G205" s="116">
        <f>8*1.2+(2.4*1.2)*1</f>
        <v>12.48</v>
      </c>
      <c r="H205" s="111"/>
      <c r="I205" s="111"/>
    </row>
    <row r="206" spans="1:9" ht="12.75">
      <c r="A206" s="111"/>
      <c r="B206" s="111"/>
      <c r="C206" s="111"/>
      <c r="D206" s="117"/>
      <c r="E206" s="117" t="s">
        <v>590</v>
      </c>
      <c r="F206" s="111"/>
      <c r="G206" s="119"/>
      <c r="H206" s="111"/>
      <c r="I206" s="111"/>
    </row>
    <row r="207" spans="1:9" ht="12.75">
      <c r="A207" s="111"/>
      <c r="B207" s="111"/>
      <c r="C207" s="111"/>
      <c r="D207" s="115"/>
      <c r="E207" s="115" t="s">
        <v>728</v>
      </c>
      <c r="F207" s="111"/>
      <c r="G207" s="116">
        <f>2*1.2</f>
        <v>2.4</v>
      </c>
      <c r="H207" s="111"/>
      <c r="I207" s="111"/>
    </row>
    <row r="208" spans="1:9" ht="12.75">
      <c r="A208" s="111"/>
      <c r="B208" s="111"/>
      <c r="C208" s="111"/>
      <c r="D208" s="117"/>
      <c r="E208" s="117" t="s">
        <v>591</v>
      </c>
      <c r="F208" s="111"/>
      <c r="G208" s="119"/>
      <c r="H208" s="111"/>
      <c r="I208" s="111"/>
    </row>
    <row r="209" spans="1:9" ht="12.75">
      <c r="A209" s="111"/>
      <c r="B209" s="111"/>
      <c r="C209" s="111"/>
      <c r="D209" s="115"/>
      <c r="E209" s="115" t="s">
        <v>730</v>
      </c>
      <c r="F209" s="111"/>
      <c r="G209" s="116">
        <f>3*1.2+(2.4*1.2)*1</f>
        <v>6.48</v>
      </c>
      <c r="H209" s="111"/>
      <c r="I209" s="111"/>
    </row>
    <row r="210" spans="1:9" ht="12.75">
      <c r="A210" s="111"/>
      <c r="B210" s="111"/>
      <c r="C210" s="111"/>
      <c r="D210" s="117"/>
      <c r="E210" s="117" t="s">
        <v>592</v>
      </c>
      <c r="F210" s="111"/>
      <c r="G210" s="119"/>
      <c r="H210" s="111"/>
      <c r="I210" s="111"/>
    </row>
    <row r="211" spans="1:9" ht="12.75">
      <c r="A211" s="111"/>
      <c r="B211" s="111"/>
      <c r="C211" s="111"/>
      <c r="D211" s="115"/>
      <c r="E211" s="115" t="s">
        <v>729</v>
      </c>
      <c r="F211" s="111"/>
      <c r="G211" s="116">
        <f>4*1.2+(2.4*1.2)*1</f>
        <v>7.68</v>
      </c>
      <c r="H211" s="111"/>
      <c r="I211" s="111"/>
    </row>
    <row r="212" spans="1:9" ht="12.75">
      <c r="A212" s="110" t="s">
        <v>529</v>
      </c>
      <c r="B212" s="110" t="s">
        <v>489</v>
      </c>
      <c r="C212" s="110" t="s">
        <v>295</v>
      </c>
      <c r="D212" s="111" t="s">
        <v>325</v>
      </c>
      <c r="E212" s="112" t="s">
        <v>380</v>
      </c>
      <c r="F212" s="110" t="s">
        <v>129</v>
      </c>
      <c r="G212" s="113">
        <f>G214</f>
        <v>681.12</v>
      </c>
      <c r="H212" s="114"/>
      <c r="I212" s="114">
        <f>ROUND(G212*H212,2)</f>
        <v>0</v>
      </c>
    </row>
    <row r="213" spans="1:9" ht="12.75">
      <c r="A213" s="111"/>
      <c r="B213" s="111"/>
      <c r="C213" s="111"/>
      <c r="D213" s="117"/>
      <c r="E213" s="117" t="s">
        <v>307</v>
      </c>
      <c r="F213" s="111"/>
      <c r="G213" s="118"/>
      <c r="H213" s="111"/>
      <c r="I213" s="111"/>
    </row>
    <row r="214" spans="1:9" ht="12.75">
      <c r="A214" s="111"/>
      <c r="B214" s="111"/>
      <c r="C214" s="111"/>
      <c r="D214" s="115"/>
      <c r="E214" s="115">
        <v>681.12</v>
      </c>
      <c r="F214" s="111"/>
      <c r="G214" s="116">
        <f>G200</f>
        <v>681.12</v>
      </c>
      <c r="H214" s="111"/>
      <c r="I214" s="111"/>
    </row>
    <row r="215" spans="1:9" ht="22.5">
      <c r="A215" s="110" t="s">
        <v>183</v>
      </c>
      <c r="B215" s="110" t="s">
        <v>489</v>
      </c>
      <c r="C215" s="110" t="s">
        <v>295</v>
      </c>
      <c r="D215" s="111" t="s">
        <v>334</v>
      </c>
      <c r="E215" s="112" t="s">
        <v>335</v>
      </c>
      <c r="F215" s="110" t="s">
        <v>129</v>
      </c>
      <c r="G215" s="113">
        <f>G212</f>
        <v>681.12</v>
      </c>
      <c r="H215" s="114"/>
      <c r="I215" s="114">
        <f aca="true" t="shared" si="0" ref="I215:I222">ROUND(G215*H215,2)</f>
        <v>0</v>
      </c>
    </row>
    <row r="216" spans="1:9" ht="12.75">
      <c r="A216" s="110" t="s">
        <v>530</v>
      </c>
      <c r="B216" s="110" t="s">
        <v>489</v>
      </c>
      <c r="C216" s="110" t="s">
        <v>295</v>
      </c>
      <c r="D216" s="111" t="s">
        <v>336</v>
      </c>
      <c r="E216" s="112" t="s">
        <v>337</v>
      </c>
      <c r="F216" s="110" t="s">
        <v>129</v>
      </c>
      <c r="G216" s="113">
        <f>G179</f>
        <v>1297.44</v>
      </c>
      <c r="H216" s="114"/>
      <c r="I216" s="114">
        <f t="shared" si="0"/>
        <v>0</v>
      </c>
    </row>
    <row r="217" spans="1:9" ht="22.5">
      <c r="A217" s="110" t="s">
        <v>533</v>
      </c>
      <c r="B217" s="110" t="s">
        <v>489</v>
      </c>
      <c r="C217" s="110" t="s">
        <v>295</v>
      </c>
      <c r="D217" s="111" t="s">
        <v>353</v>
      </c>
      <c r="E217" s="112" t="s">
        <v>354</v>
      </c>
      <c r="F217" s="110" t="s">
        <v>129</v>
      </c>
      <c r="G217" s="113">
        <f>G182</f>
        <v>616.32</v>
      </c>
      <c r="H217" s="114"/>
      <c r="I217" s="114">
        <f t="shared" si="0"/>
        <v>0</v>
      </c>
    </row>
    <row r="218" spans="1:9" ht="22.5">
      <c r="A218" s="110" t="s">
        <v>535</v>
      </c>
      <c r="B218" s="110" t="s">
        <v>489</v>
      </c>
      <c r="C218" s="110" t="s">
        <v>295</v>
      </c>
      <c r="D218" s="111" t="s">
        <v>342</v>
      </c>
      <c r="E218" s="112" t="s">
        <v>343</v>
      </c>
      <c r="F218" s="110" t="s">
        <v>129</v>
      </c>
      <c r="G218" s="113">
        <f>G215</f>
        <v>681.12</v>
      </c>
      <c r="H218" s="114"/>
      <c r="I218" s="114">
        <f t="shared" si="0"/>
        <v>0</v>
      </c>
    </row>
    <row r="219" spans="1:9" ht="22.5">
      <c r="A219" s="110" t="s">
        <v>536</v>
      </c>
      <c r="B219" s="110" t="s">
        <v>489</v>
      </c>
      <c r="C219" s="110" t="s">
        <v>295</v>
      </c>
      <c r="D219" s="111" t="s">
        <v>344</v>
      </c>
      <c r="E219" s="112" t="s">
        <v>345</v>
      </c>
      <c r="F219" s="110" t="s">
        <v>129</v>
      </c>
      <c r="G219" s="113">
        <f>G218</f>
        <v>681.12</v>
      </c>
      <c r="H219" s="114"/>
      <c r="I219" s="114">
        <f t="shared" si="0"/>
        <v>0</v>
      </c>
    </row>
    <row r="220" spans="1:9" ht="22.5">
      <c r="A220" s="110" t="s">
        <v>538</v>
      </c>
      <c r="B220" s="110" t="s">
        <v>489</v>
      </c>
      <c r="C220" s="110" t="s">
        <v>295</v>
      </c>
      <c r="D220" s="111" t="s">
        <v>346</v>
      </c>
      <c r="E220" s="112" t="s">
        <v>347</v>
      </c>
      <c r="F220" s="110" t="s">
        <v>129</v>
      </c>
      <c r="G220" s="113">
        <f>G217</f>
        <v>616.32</v>
      </c>
      <c r="H220" s="114"/>
      <c r="I220" s="114">
        <f t="shared" si="0"/>
        <v>0</v>
      </c>
    </row>
    <row r="221" spans="1:9" ht="22.5">
      <c r="A221" s="110" t="s">
        <v>539</v>
      </c>
      <c r="B221" s="110" t="s">
        <v>489</v>
      </c>
      <c r="C221" s="110" t="s">
        <v>295</v>
      </c>
      <c r="D221" s="111" t="s">
        <v>348</v>
      </c>
      <c r="E221" s="112" t="s">
        <v>349</v>
      </c>
      <c r="F221" s="110" t="s">
        <v>75</v>
      </c>
      <c r="G221" s="113">
        <v>1999.2</v>
      </c>
      <c r="H221" s="114"/>
      <c r="I221" s="114">
        <f t="shared" si="0"/>
        <v>0</v>
      </c>
    </row>
    <row r="222" spans="1:9" ht="12.75">
      <c r="A222" s="110" t="s">
        <v>542</v>
      </c>
      <c r="B222" s="110" t="s">
        <v>489</v>
      </c>
      <c r="C222" s="110" t="s">
        <v>295</v>
      </c>
      <c r="D222" s="111" t="s">
        <v>350</v>
      </c>
      <c r="E222" s="112" t="s">
        <v>351</v>
      </c>
      <c r="F222" s="110" t="s">
        <v>129</v>
      </c>
      <c r="G222" s="113">
        <v>1827</v>
      </c>
      <c r="H222" s="114"/>
      <c r="I222" s="114">
        <f t="shared" si="0"/>
        <v>0</v>
      </c>
    </row>
    <row r="223" spans="1:9" ht="12.75">
      <c r="A223" s="111"/>
      <c r="B223" s="111"/>
      <c r="C223" s="111"/>
      <c r="D223" s="117"/>
      <c r="E223" s="117" t="s">
        <v>307</v>
      </c>
      <c r="F223" s="111"/>
      <c r="G223" s="118"/>
      <c r="H223" s="111"/>
      <c r="I223" s="111"/>
    </row>
    <row r="224" spans="1:9" ht="12.75">
      <c r="A224" s="111"/>
      <c r="B224" s="111"/>
      <c r="C224" s="111"/>
      <c r="D224" s="115"/>
      <c r="E224" s="115" t="s">
        <v>381</v>
      </c>
      <c r="F224" s="111"/>
      <c r="G224" s="116">
        <v>1827</v>
      </c>
      <c r="H224" s="111"/>
      <c r="I224" s="111"/>
    </row>
    <row r="225" spans="1:9" ht="12.75">
      <c r="A225" s="110" t="s">
        <v>543</v>
      </c>
      <c r="B225" s="110" t="s">
        <v>489</v>
      </c>
      <c r="C225" s="110" t="s">
        <v>295</v>
      </c>
      <c r="D225" s="111" t="s">
        <v>336</v>
      </c>
      <c r="E225" s="112" t="s">
        <v>337</v>
      </c>
      <c r="F225" s="110" t="s">
        <v>129</v>
      </c>
      <c r="G225" s="113">
        <v>1827</v>
      </c>
      <c r="H225" s="114"/>
      <c r="I225" s="114">
        <f>ROUND(G225*H225,2)</f>
        <v>0</v>
      </c>
    </row>
    <row r="226" spans="1:9" ht="22.5">
      <c r="A226" s="110" t="s">
        <v>544</v>
      </c>
      <c r="B226" s="110" t="s">
        <v>489</v>
      </c>
      <c r="C226" s="110" t="s">
        <v>295</v>
      </c>
      <c r="D226" s="111" t="s">
        <v>339</v>
      </c>
      <c r="E226" s="112" t="s">
        <v>340</v>
      </c>
      <c r="F226" s="110" t="s">
        <v>129</v>
      </c>
      <c r="G226" s="113">
        <v>1827</v>
      </c>
      <c r="H226" s="114"/>
      <c r="I226" s="114">
        <f>ROUND(G226*H226,2)</f>
        <v>0</v>
      </c>
    </row>
    <row r="227" spans="1:9" ht="22.5">
      <c r="A227" s="110" t="s">
        <v>545</v>
      </c>
      <c r="B227" s="110" t="s">
        <v>489</v>
      </c>
      <c r="C227" s="110" t="s">
        <v>295</v>
      </c>
      <c r="D227" s="111" t="s">
        <v>348</v>
      </c>
      <c r="E227" s="112" t="s">
        <v>349</v>
      </c>
      <c r="F227" s="110" t="s">
        <v>75</v>
      </c>
      <c r="G227" s="113">
        <v>522</v>
      </c>
      <c r="H227" s="114"/>
      <c r="I227" s="114">
        <f>ROUND(G227*H227,2)</f>
        <v>0</v>
      </c>
    </row>
    <row r="228" spans="1:9" ht="12.75">
      <c r="A228" s="111"/>
      <c r="B228" s="111"/>
      <c r="C228" s="111"/>
      <c r="D228" s="115"/>
      <c r="E228" s="115" t="s">
        <v>382</v>
      </c>
      <c r="F228" s="111"/>
      <c r="G228" s="116">
        <v>522</v>
      </c>
      <c r="H228" s="111"/>
      <c r="I228" s="111"/>
    </row>
    <row r="229" spans="1:9" ht="12.75">
      <c r="A229" s="110" t="s">
        <v>546</v>
      </c>
      <c r="B229" s="110" t="s">
        <v>489</v>
      </c>
      <c r="C229" s="110" t="s">
        <v>315</v>
      </c>
      <c r="D229" s="111" t="s">
        <v>316</v>
      </c>
      <c r="E229" s="112" t="s">
        <v>383</v>
      </c>
      <c r="F229" s="110" t="s">
        <v>157</v>
      </c>
      <c r="G229" s="113">
        <v>629.881</v>
      </c>
      <c r="H229" s="114"/>
      <c r="I229" s="114">
        <f>ROUND(G229*H229,2)</f>
        <v>0</v>
      </c>
    </row>
    <row r="230" spans="1:9" ht="12.75">
      <c r="A230" s="111"/>
      <c r="B230" s="111"/>
      <c r="C230" s="111"/>
      <c r="D230" s="115"/>
      <c r="E230" s="115" t="s">
        <v>384</v>
      </c>
      <c r="F230" s="111"/>
      <c r="G230" s="116">
        <v>629.881</v>
      </c>
      <c r="H230" s="111"/>
      <c r="I230" s="111"/>
    </row>
    <row r="231" spans="1:9" ht="12.75">
      <c r="A231" s="110" t="s">
        <v>547</v>
      </c>
      <c r="B231" s="110" t="s">
        <v>489</v>
      </c>
      <c r="C231" s="110" t="s">
        <v>315</v>
      </c>
      <c r="D231" s="111" t="s">
        <v>318</v>
      </c>
      <c r="E231" s="112" t="s">
        <v>319</v>
      </c>
      <c r="F231" s="110" t="s">
        <v>157</v>
      </c>
      <c r="G231" s="113">
        <v>1259.762</v>
      </c>
      <c r="H231" s="114"/>
      <c r="I231" s="114">
        <f>ROUND(G231*H231,2)</f>
        <v>0</v>
      </c>
    </row>
    <row r="232" spans="1:9" ht="12.75">
      <c r="A232" s="111"/>
      <c r="B232" s="111"/>
      <c r="C232" s="111"/>
      <c r="D232" s="115"/>
      <c r="E232" s="115" t="s">
        <v>385</v>
      </c>
      <c r="F232" s="111"/>
      <c r="G232" s="116">
        <v>1259.762</v>
      </c>
      <c r="H232" s="111"/>
      <c r="I232" s="111"/>
    </row>
    <row r="233" spans="1:9" ht="12.75">
      <c r="A233" s="110" t="s">
        <v>548</v>
      </c>
      <c r="B233" s="110" t="s">
        <v>489</v>
      </c>
      <c r="C233" s="110" t="s">
        <v>493</v>
      </c>
      <c r="D233" s="111" t="s">
        <v>321</v>
      </c>
      <c r="E233" s="112" t="s">
        <v>322</v>
      </c>
      <c r="F233" s="110" t="s">
        <v>157</v>
      </c>
      <c r="G233" s="113">
        <v>629.881</v>
      </c>
      <c r="H233" s="114"/>
      <c r="I233" s="114">
        <f>ROUND(G233*H233,2)</f>
        <v>0</v>
      </c>
    </row>
    <row r="234" spans="1:9" ht="12.75">
      <c r="A234" s="110" t="s">
        <v>549</v>
      </c>
      <c r="B234" s="110" t="s">
        <v>489</v>
      </c>
      <c r="C234" s="110" t="s">
        <v>315</v>
      </c>
      <c r="D234" s="111" t="s">
        <v>316</v>
      </c>
      <c r="E234" s="112" t="s">
        <v>383</v>
      </c>
      <c r="F234" s="110" t="s">
        <v>157</v>
      </c>
      <c r="G234" s="113">
        <v>462.174</v>
      </c>
      <c r="H234" s="114"/>
      <c r="I234" s="114">
        <f>ROUND(G234*H234,2)</f>
        <v>0</v>
      </c>
    </row>
    <row r="235" spans="1:9" ht="12.75">
      <c r="A235" s="111"/>
      <c r="B235" s="111"/>
      <c r="C235" s="111"/>
      <c r="D235" s="117"/>
      <c r="E235" s="117" t="s">
        <v>578</v>
      </c>
      <c r="F235" s="111"/>
      <c r="G235" s="118"/>
      <c r="H235" s="111"/>
      <c r="I235" s="111"/>
    </row>
    <row r="236" spans="1:9" ht="12.75">
      <c r="A236" s="111"/>
      <c r="B236" s="111"/>
      <c r="C236" s="111"/>
      <c r="D236" s="115"/>
      <c r="E236" s="115" t="s">
        <v>386</v>
      </c>
      <c r="F236" s="111"/>
      <c r="G236" s="116">
        <v>462.174</v>
      </c>
      <c r="H236" s="111"/>
      <c r="I236" s="111"/>
    </row>
    <row r="237" spans="1:9" ht="12.75">
      <c r="A237" s="110" t="s">
        <v>550</v>
      </c>
      <c r="B237" s="110" t="s">
        <v>489</v>
      </c>
      <c r="C237" s="110" t="s">
        <v>315</v>
      </c>
      <c r="D237" s="111" t="s">
        <v>318</v>
      </c>
      <c r="E237" s="112" t="s">
        <v>319</v>
      </c>
      <c r="F237" s="110" t="s">
        <v>157</v>
      </c>
      <c r="G237" s="113">
        <f>G238</f>
        <v>3697.392</v>
      </c>
      <c r="H237" s="114"/>
      <c r="I237" s="114">
        <f>ROUND(G237*H237,2)</f>
        <v>0</v>
      </c>
    </row>
    <row r="238" spans="1:9" ht="12.75">
      <c r="A238" s="111"/>
      <c r="B238" s="111"/>
      <c r="C238" s="111"/>
      <c r="D238" s="115"/>
      <c r="E238" s="115" t="s">
        <v>703</v>
      </c>
      <c r="F238" s="111"/>
      <c r="G238" s="116">
        <f>8*462.174</f>
        <v>3697.392</v>
      </c>
      <c r="H238" s="111"/>
      <c r="I238" s="111"/>
    </row>
    <row r="239" spans="1:9" ht="12.75">
      <c r="A239" s="110" t="s">
        <v>551</v>
      </c>
      <c r="B239" s="110" t="s">
        <v>489</v>
      </c>
      <c r="C239" s="110" t="s">
        <v>92</v>
      </c>
      <c r="D239" s="111" t="s">
        <v>155</v>
      </c>
      <c r="E239" s="112" t="s">
        <v>156</v>
      </c>
      <c r="F239" s="110" t="s">
        <v>157</v>
      </c>
      <c r="G239" s="113">
        <v>462.174</v>
      </c>
      <c r="H239" s="114"/>
      <c r="I239" s="114">
        <f>ROUND(G239*H239,2)</f>
        <v>0</v>
      </c>
    </row>
    <row r="240" spans="1:9" ht="12.75">
      <c r="A240" s="106"/>
      <c r="B240" s="107" t="s">
        <v>488</v>
      </c>
      <c r="C240" s="106"/>
      <c r="D240" s="108" t="s">
        <v>90</v>
      </c>
      <c r="E240" s="108" t="s">
        <v>179</v>
      </c>
      <c r="F240" s="106"/>
      <c r="G240" s="106"/>
      <c r="H240" s="106"/>
      <c r="I240" s="109">
        <f>SUM(I241:I262)</f>
        <v>0</v>
      </c>
    </row>
    <row r="241" spans="1:9" ht="12.75">
      <c r="A241" s="110" t="s">
        <v>553</v>
      </c>
      <c r="B241" s="110" t="s">
        <v>489</v>
      </c>
      <c r="C241" s="110" t="s">
        <v>493</v>
      </c>
      <c r="D241" s="111" t="s">
        <v>382</v>
      </c>
      <c r="E241" s="112" t="s">
        <v>387</v>
      </c>
      <c r="F241" s="110" t="s">
        <v>72</v>
      </c>
      <c r="G241" s="113">
        <v>39</v>
      </c>
      <c r="H241" s="114"/>
      <c r="I241" s="114">
        <f aca="true" t="shared" si="1" ref="I241:I247">ROUND(G241*H241,2)</f>
        <v>0</v>
      </c>
    </row>
    <row r="242" spans="1:9" ht="22.5">
      <c r="A242" s="110" t="s">
        <v>554</v>
      </c>
      <c r="B242" s="110" t="s">
        <v>489</v>
      </c>
      <c r="C242" s="110" t="s">
        <v>175</v>
      </c>
      <c r="D242" s="111" t="s">
        <v>388</v>
      </c>
      <c r="E242" s="112" t="s">
        <v>389</v>
      </c>
      <c r="F242" s="110" t="s">
        <v>72</v>
      </c>
      <c r="G242" s="113">
        <v>33</v>
      </c>
      <c r="H242" s="114"/>
      <c r="I242" s="114">
        <f t="shared" si="1"/>
        <v>0</v>
      </c>
    </row>
    <row r="243" spans="1:9" ht="12.75">
      <c r="A243" s="120" t="s">
        <v>555</v>
      </c>
      <c r="B243" s="120" t="s">
        <v>508</v>
      </c>
      <c r="C243" s="120" t="s">
        <v>509</v>
      </c>
      <c r="D243" s="121" t="s">
        <v>390</v>
      </c>
      <c r="E243" s="122" t="s">
        <v>391</v>
      </c>
      <c r="F243" s="120" t="s">
        <v>72</v>
      </c>
      <c r="G243" s="123">
        <v>33</v>
      </c>
      <c r="H243" s="124"/>
      <c r="I243" s="124">
        <f t="shared" si="1"/>
        <v>0</v>
      </c>
    </row>
    <row r="244" spans="1:9" ht="22.5">
      <c r="A244" s="110" t="s">
        <v>558</v>
      </c>
      <c r="B244" s="110" t="s">
        <v>489</v>
      </c>
      <c r="C244" s="110" t="s">
        <v>175</v>
      </c>
      <c r="D244" s="111" t="s">
        <v>392</v>
      </c>
      <c r="E244" s="112" t="s">
        <v>609</v>
      </c>
      <c r="F244" s="110" t="s">
        <v>72</v>
      </c>
      <c r="G244" s="113">
        <v>6</v>
      </c>
      <c r="H244" s="114"/>
      <c r="I244" s="114">
        <f t="shared" si="1"/>
        <v>0</v>
      </c>
    </row>
    <row r="245" spans="1:9" ht="12.75">
      <c r="A245" s="120" t="s">
        <v>559</v>
      </c>
      <c r="B245" s="120" t="s">
        <v>508</v>
      </c>
      <c r="C245" s="120" t="s">
        <v>509</v>
      </c>
      <c r="D245" s="121" t="s">
        <v>393</v>
      </c>
      <c r="E245" s="122" t="s">
        <v>394</v>
      </c>
      <c r="F245" s="120" t="s">
        <v>72</v>
      </c>
      <c r="G245" s="123">
        <v>6</v>
      </c>
      <c r="H245" s="124"/>
      <c r="I245" s="124">
        <f t="shared" si="1"/>
        <v>0</v>
      </c>
    </row>
    <row r="246" spans="1:9" ht="22.5">
      <c r="A246" s="110" t="s">
        <v>560</v>
      </c>
      <c r="B246" s="110" t="s">
        <v>489</v>
      </c>
      <c r="C246" s="110" t="s">
        <v>175</v>
      </c>
      <c r="D246" s="111" t="s">
        <v>395</v>
      </c>
      <c r="E246" s="112" t="s">
        <v>396</v>
      </c>
      <c r="F246" s="110" t="s">
        <v>75</v>
      </c>
      <c r="G246" s="113">
        <v>176</v>
      </c>
      <c r="H246" s="114"/>
      <c r="I246" s="114">
        <f t="shared" si="1"/>
        <v>0</v>
      </c>
    </row>
    <row r="247" spans="1:9" ht="22.5">
      <c r="A247" s="120" t="s">
        <v>561</v>
      </c>
      <c r="B247" s="120" t="s">
        <v>508</v>
      </c>
      <c r="C247" s="120" t="s">
        <v>509</v>
      </c>
      <c r="D247" s="121" t="s">
        <v>397</v>
      </c>
      <c r="E247" s="122" t="s">
        <v>398</v>
      </c>
      <c r="F247" s="120" t="s">
        <v>75</v>
      </c>
      <c r="G247" s="123">
        <v>175.595</v>
      </c>
      <c r="H247" s="124"/>
      <c r="I247" s="124">
        <f t="shared" si="1"/>
        <v>0</v>
      </c>
    </row>
    <row r="248" spans="1:9" ht="12.75">
      <c r="A248" s="111"/>
      <c r="B248" s="111"/>
      <c r="C248" s="111"/>
      <c r="D248" s="115"/>
      <c r="E248" s="115" t="s">
        <v>399</v>
      </c>
      <c r="F248" s="111"/>
      <c r="G248" s="116">
        <v>175.595</v>
      </c>
      <c r="H248" s="111"/>
      <c r="I248" s="111"/>
    </row>
    <row r="249" spans="1:9" ht="22.5">
      <c r="A249" s="120" t="s">
        <v>562</v>
      </c>
      <c r="B249" s="120" t="s">
        <v>508</v>
      </c>
      <c r="C249" s="120" t="s">
        <v>509</v>
      </c>
      <c r="D249" s="121" t="s">
        <v>400</v>
      </c>
      <c r="E249" s="122" t="s">
        <v>401</v>
      </c>
      <c r="F249" s="120" t="s">
        <v>72</v>
      </c>
      <c r="G249" s="123">
        <v>5.075</v>
      </c>
      <c r="H249" s="124"/>
      <c r="I249" s="124">
        <f>ROUND(G249*H249,2)</f>
        <v>0</v>
      </c>
    </row>
    <row r="250" spans="1:9" ht="12.75">
      <c r="A250" s="111"/>
      <c r="B250" s="111"/>
      <c r="C250" s="111"/>
      <c r="D250" s="115"/>
      <c r="E250" s="115" t="s">
        <v>402</v>
      </c>
      <c r="F250" s="111"/>
      <c r="G250" s="116">
        <v>5.075</v>
      </c>
      <c r="H250" s="111"/>
      <c r="I250" s="111"/>
    </row>
    <row r="251" spans="1:9" ht="22.5">
      <c r="A251" s="110" t="s">
        <v>563</v>
      </c>
      <c r="B251" s="110" t="s">
        <v>489</v>
      </c>
      <c r="C251" s="110" t="s">
        <v>175</v>
      </c>
      <c r="D251" s="111" t="s">
        <v>403</v>
      </c>
      <c r="E251" s="112" t="s">
        <v>404</v>
      </c>
      <c r="F251" s="110" t="s">
        <v>75</v>
      </c>
      <c r="G251" s="113">
        <v>1092</v>
      </c>
      <c r="H251" s="114"/>
      <c r="I251" s="114">
        <f>ROUND(G251*H251,2)</f>
        <v>0</v>
      </c>
    </row>
    <row r="252" spans="1:9" ht="22.5">
      <c r="A252" s="120" t="s">
        <v>564</v>
      </c>
      <c r="B252" s="120" t="s">
        <v>508</v>
      </c>
      <c r="C252" s="120" t="s">
        <v>509</v>
      </c>
      <c r="D252" s="121" t="s">
        <v>405</v>
      </c>
      <c r="E252" s="122" t="s">
        <v>406</v>
      </c>
      <c r="F252" s="120" t="s">
        <v>75</v>
      </c>
      <c r="G252" s="123">
        <v>1087.674</v>
      </c>
      <c r="H252" s="124"/>
      <c r="I252" s="124">
        <f>ROUND(G252*H252,2)</f>
        <v>0</v>
      </c>
    </row>
    <row r="253" spans="1:9" ht="12.75">
      <c r="A253" s="111"/>
      <c r="B253" s="111"/>
      <c r="C253" s="111"/>
      <c r="D253" s="115"/>
      <c r="E253" s="115" t="s">
        <v>407</v>
      </c>
      <c r="F253" s="111"/>
      <c r="G253" s="116">
        <v>1087.674</v>
      </c>
      <c r="H253" s="111"/>
      <c r="I253" s="111"/>
    </row>
    <row r="254" spans="1:9" ht="22.5">
      <c r="A254" s="120" t="s">
        <v>565</v>
      </c>
      <c r="B254" s="120" t="s">
        <v>508</v>
      </c>
      <c r="C254" s="120" t="s">
        <v>509</v>
      </c>
      <c r="D254" s="121" t="s">
        <v>408</v>
      </c>
      <c r="E254" s="122" t="s">
        <v>409</v>
      </c>
      <c r="F254" s="120" t="s">
        <v>72</v>
      </c>
      <c r="G254" s="123">
        <v>35.525</v>
      </c>
      <c r="H254" s="124"/>
      <c r="I254" s="124">
        <f>ROUND(G254*H254,2)</f>
        <v>0</v>
      </c>
    </row>
    <row r="255" spans="1:9" ht="12.75">
      <c r="A255" s="111"/>
      <c r="B255" s="111"/>
      <c r="C255" s="111"/>
      <c r="D255" s="115"/>
      <c r="E255" s="115" t="s">
        <v>410</v>
      </c>
      <c r="F255" s="111"/>
      <c r="G255" s="116">
        <v>35.525</v>
      </c>
      <c r="H255" s="111"/>
      <c r="I255" s="111"/>
    </row>
    <row r="256" spans="1:9" ht="22.5">
      <c r="A256" s="110" t="s">
        <v>566</v>
      </c>
      <c r="B256" s="110" t="s">
        <v>489</v>
      </c>
      <c r="C256" s="110" t="s">
        <v>175</v>
      </c>
      <c r="D256" s="111" t="s">
        <v>411</v>
      </c>
      <c r="E256" s="112" t="s">
        <v>412</v>
      </c>
      <c r="F256" s="110" t="s">
        <v>72</v>
      </c>
      <c r="G256" s="113">
        <v>55</v>
      </c>
      <c r="H256" s="114"/>
      <c r="I256" s="114">
        <f aca="true" t="shared" si="2" ref="I256:I261">ROUND(G256*H256,2)</f>
        <v>0</v>
      </c>
    </row>
    <row r="257" spans="1:9" ht="12.75">
      <c r="A257" s="120" t="s">
        <v>567</v>
      </c>
      <c r="B257" s="120" t="s">
        <v>508</v>
      </c>
      <c r="C257" s="120" t="s">
        <v>509</v>
      </c>
      <c r="D257" s="121" t="s">
        <v>413</v>
      </c>
      <c r="E257" s="122" t="s">
        <v>414</v>
      </c>
      <c r="F257" s="120" t="s">
        <v>72</v>
      </c>
      <c r="G257" s="123">
        <v>3.045</v>
      </c>
      <c r="H257" s="124"/>
      <c r="I257" s="124">
        <f t="shared" si="2"/>
        <v>0</v>
      </c>
    </row>
    <row r="258" spans="1:9" ht="22.5">
      <c r="A258" s="120" t="s">
        <v>568</v>
      </c>
      <c r="B258" s="120" t="s">
        <v>508</v>
      </c>
      <c r="C258" s="120" t="s">
        <v>509</v>
      </c>
      <c r="D258" s="121" t="s">
        <v>415</v>
      </c>
      <c r="E258" s="122" t="s">
        <v>416</v>
      </c>
      <c r="F258" s="120" t="s">
        <v>72</v>
      </c>
      <c r="G258" s="123">
        <v>54.54</v>
      </c>
      <c r="H258" s="124"/>
      <c r="I258" s="124">
        <f t="shared" si="2"/>
        <v>0</v>
      </c>
    </row>
    <row r="259" spans="1:9" ht="22.5">
      <c r="A259" s="120" t="s">
        <v>570</v>
      </c>
      <c r="B259" s="120" t="s">
        <v>508</v>
      </c>
      <c r="C259" s="120" t="s">
        <v>509</v>
      </c>
      <c r="D259" s="121" t="s">
        <v>417</v>
      </c>
      <c r="E259" s="122" t="s">
        <v>474</v>
      </c>
      <c r="F259" s="120" t="s">
        <v>72</v>
      </c>
      <c r="G259" s="123">
        <v>1.01</v>
      </c>
      <c r="H259" s="124"/>
      <c r="I259" s="124">
        <f t="shared" si="2"/>
        <v>0</v>
      </c>
    </row>
    <row r="260" spans="1:9" ht="22.5">
      <c r="A260" s="110" t="s">
        <v>571</v>
      </c>
      <c r="B260" s="110" t="s">
        <v>489</v>
      </c>
      <c r="C260" s="110" t="s">
        <v>175</v>
      </c>
      <c r="D260" s="111" t="s">
        <v>418</v>
      </c>
      <c r="E260" s="112" t="s">
        <v>472</v>
      </c>
      <c r="F260" s="110" t="s">
        <v>72</v>
      </c>
      <c r="G260" s="113">
        <v>55</v>
      </c>
      <c r="H260" s="114"/>
      <c r="I260" s="114">
        <f t="shared" si="2"/>
        <v>0</v>
      </c>
    </row>
    <row r="261" spans="1:9" ht="12.75">
      <c r="A261" s="120" t="s">
        <v>572</v>
      </c>
      <c r="B261" s="120" t="s">
        <v>508</v>
      </c>
      <c r="C261" s="120" t="s">
        <v>509</v>
      </c>
      <c r="D261" s="121" t="s">
        <v>419</v>
      </c>
      <c r="E261" s="122" t="s">
        <v>610</v>
      </c>
      <c r="F261" s="120" t="s">
        <v>72</v>
      </c>
      <c r="G261" s="123">
        <v>55.825</v>
      </c>
      <c r="H261" s="124"/>
      <c r="I261" s="124">
        <f t="shared" si="2"/>
        <v>0</v>
      </c>
    </row>
    <row r="262" spans="1:9" ht="12.75">
      <c r="A262" s="111"/>
      <c r="B262" s="111"/>
      <c r="C262" s="111"/>
      <c r="D262" s="115"/>
      <c r="E262" s="115" t="s">
        <v>420</v>
      </c>
      <c r="F262" s="111"/>
      <c r="G262" s="116">
        <v>55.825</v>
      </c>
      <c r="H262" s="111"/>
      <c r="I262" s="111"/>
    </row>
    <row r="263" spans="1:9" ht="12.75">
      <c r="A263" s="106"/>
      <c r="B263" s="107" t="s">
        <v>488</v>
      </c>
      <c r="C263" s="106"/>
      <c r="D263" s="108" t="s">
        <v>257</v>
      </c>
      <c r="E263" s="108" t="s">
        <v>258</v>
      </c>
      <c r="F263" s="106"/>
      <c r="G263" s="106"/>
      <c r="H263" s="106"/>
      <c r="I263" s="109">
        <f>I264</f>
        <v>0</v>
      </c>
    </row>
    <row r="264" spans="1:9" ht="12.75">
      <c r="A264" s="106"/>
      <c r="B264" s="125" t="s">
        <v>488</v>
      </c>
      <c r="C264" s="106"/>
      <c r="D264" s="126" t="s">
        <v>259</v>
      </c>
      <c r="E264" s="126" t="s">
        <v>260</v>
      </c>
      <c r="F264" s="106"/>
      <c r="G264" s="106"/>
      <c r="H264" s="106"/>
      <c r="I264" s="127">
        <f>SUM(I265:I271)</f>
        <v>0</v>
      </c>
    </row>
    <row r="265" spans="1:9" ht="12.75">
      <c r="A265" s="110" t="s">
        <v>574</v>
      </c>
      <c r="B265" s="110" t="s">
        <v>489</v>
      </c>
      <c r="C265" s="110" t="s">
        <v>92</v>
      </c>
      <c r="D265" s="111" t="s">
        <v>355</v>
      </c>
      <c r="E265" s="112" t="s">
        <v>356</v>
      </c>
      <c r="F265" s="110" t="s">
        <v>75</v>
      </c>
      <c r="G265" s="113">
        <v>15</v>
      </c>
      <c r="H265" s="114"/>
      <c r="I265" s="114">
        <f aca="true" t="shared" si="3" ref="I265:I271">ROUND(G265*H265,2)</f>
        <v>0</v>
      </c>
    </row>
    <row r="266" spans="1:9" ht="12.75">
      <c r="A266" s="110" t="s">
        <v>575</v>
      </c>
      <c r="B266" s="110" t="s">
        <v>489</v>
      </c>
      <c r="C266" s="110" t="s">
        <v>92</v>
      </c>
      <c r="D266" s="111" t="s">
        <v>357</v>
      </c>
      <c r="E266" s="112" t="s">
        <v>358</v>
      </c>
      <c r="F266" s="110" t="s">
        <v>75</v>
      </c>
      <c r="G266" s="113">
        <v>8</v>
      </c>
      <c r="H266" s="114"/>
      <c r="I266" s="114">
        <f t="shared" si="3"/>
        <v>0</v>
      </c>
    </row>
    <row r="267" spans="1:9" ht="12.75">
      <c r="A267" s="110" t="s">
        <v>576</v>
      </c>
      <c r="B267" s="110" t="s">
        <v>489</v>
      </c>
      <c r="C267" s="110" t="s">
        <v>92</v>
      </c>
      <c r="D267" s="111" t="s">
        <v>359</v>
      </c>
      <c r="E267" s="112" t="s">
        <v>360</v>
      </c>
      <c r="F267" s="110" t="s">
        <v>75</v>
      </c>
      <c r="G267" s="113">
        <v>6</v>
      </c>
      <c r="H267" s="114"/>
      <c r="I267" s="114">
        <f t="shared" si="3"/>
        <v>0</v>
      </c>
    </row>
    <row r="268" spans="1:9" ht="12.75">
      <c r="A268" s="110" t="s">
        <v>577</v>
      </c>
      <c r="B268" s="110" t="s">
        <v>489</v>
      </c>
      <c r="C268" s="110" t="s">
        <v>92</v>
      </c>
      <c r="D268" s="111" t="s">
        <v>261</v>
      </c>
      <c r="E268" s="112" t="s">
        <v>262</v>
      </c>
      <c r="F268" s="110" t="s">
        <v>75</v>
      </c>
      <c r="G268" s="113">
        <v>14</v>
      </c>
      <c r="H268" s="114"/>
      <c r="I268" s="114">
        <f t="shared" si="3"/>
        <v>0</v>
      </c>
    </row>
    <row r="269" spans="1:9" ht="12.75">
      <c r="A269" s="110">
        <v>81</v>
      </c>
      <c r="B269" s="110" t="s">
        <v>489</v>
      </c>
      <c r="C269" s="110" t="s">
        <v>421</v>
      </c>
      <c r="D269" s="111" t="s">
        <v>422</v>
      </c>
      <c r="E269" s="112" t="s">
        <v>475</v>
      </c>
      <c r="F269" s="110" t="s">
        <v>75</v>
      </c>
      <c r="G269" s="113">
        <v>1267.4</v>
      </c>
      <c r="H269" s="114"/>
      <c r="I269" s="114">
        <f t="shared" si="3"/>
        <v>0</v>
      </c>
    </row>
    <row r="270" spans="1:9" ht="12.75">
      <c r="A270" s="110">
        <v>82</v>
      </c>
      <c r="B270" s="110" t="s">
        <v>489</v>
      </c>
      <c r="C270" s="110" t="s">
        <v>421</v>
      </c>
      <c r="D270" s="111" t="s">
        <v>423</v>
      </c>
      <c r="E270" s="112" t="s">
        <v>611</v>
      </c>
      <c r="F270" s="110" t="s">
        <v>75</v>
      </c>
      <c r="G270" s="113">
        <v>1267.4</v>
      </c>
      <c r="H270" s="114"/>
      <c r="I270" s="114">
        <f t="shared" si="3"/>
        <v>0</v>
      </c>
    </row>
    <row r="271" spans="1:9" ht="12.75">
      <c r="A271" s="110">
        <v>83</v>
      </c>
      <c r="B271" s="110" t="s">
        <v>489</v>
      </c>
      <c r="C271" s="110" t="s">
        <v>175</v>
      </c>
      <c r="D271" s="111" t="s">
        <v>424</v>
      </c>
      <c r="E271" s="112" t="s">
        <v>476</v>
      </c>
      <c r="F271" s="110" t="s">
        <v>157</v>
      </c>
      <c r="G271" s="113">
        <v>5642.218</v>
      </c>
      <c r="H271" s="114"/>
      <c r="I271" s="114">
        <f t="shared" si="3"/>
        <v>0</v>
      </c>
    </row>
    <row r="272" spans="1:9" ht="12.75">
      <c r="A272" s="128"/>
      <c r="B272" s="128"/>
      <c r="C272" s="128"/>
      <c r="D272" s="128"/>
      <c r="E272" s="129" t="s">
        <v>270</v>
      </c>
      <c r="F272" s="128"/>
      <c r="G272" s="128"/>
      <c r="H272" s="128"/>
      <c r="I272" s="130">
        <f>I14</f>
        <v>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Križan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V.Križan</dc:creator>
  <cp:keywords/>
  <dc:description/>
  <cp:lastModifiedBy>Martina Gabrielová</cp:lastModifiedBy>
  <cp:lastPrinted>2012-09-13T07:18:53Z</cp:lastPrinted>
  <dcterms:created xsi:type="dcterms:W3CDTF">2003-08-26T07:18:58Z</dcterms:created>
  <dcterms:modified xsi:type="dcterms:W3CDTF">2014-02-03T06:04:42Z</dcterms:modified>
  <cp:category/>
  <cp:version/>
  <cp:contentType/>
  <cp:contentStatus/>
</cp:coreProperties>
</file>