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4" activeTab="0"/>
  </bookViews>
  <sheets>
    <sheet name="rekapitulace_stavby" sheetId="1" r:id="rId1"/>
    <sheet name="SO 01" sheetId="2" r:id="rId2"/>
    <sheet name="SO 01-ELEKTRO" sheetId="3" r:id="rId3"/>
    <sheet name="SO 03" sheetId="4" r:id="rId4"/>
    <sheet name="SO 04" sheetId="5" r:id="rId5"/>
    <sheet name="SO 05" sheetId="6" r:id="rId6"/>
    <sheet name="PS 01_KR_LIST" sheetId="7" r:id="rId7"/>
    <sheet name="PS 01_Rekapitulace" sheetId="8" r:id="rId8"/>
    <sheet name="PS 01_POL" sheetId="9" r:id="rId9"/>
  </sheets>
  <definedNames>
    <definedName name="_xlnm._FilterDatabase" localSheetId="1" hidden="1">'SO 01'!$A$35:$I$301</definedName>
    <definedName name="_xlnm._FilterDatabase" localSheetId="3" hidden="1">'SO 03'!$A$35:$I$186</definedName>
    <definedName name="_xlnm._FilterDatabase" localSheetId="4" hidden="1">'SO 04'!$A$35:$I$171</definedName>
    <definedName name="_xlnm._FilterDatabase" localSheetId="5" hidden="1">'SO 05'!$A$35:$I$137</definedName>
    <definedName name="Excel_BuiltIn_Database">#REF!</definedName>
    <definedName name="Excel_BuiltIn_Database_2">#REF!</definedName>
    <definedName name="_xlnm.Print_Titles" localSheetId="8">'PS 01_POL'!$7:$9</definedName>
    <definedName name="_xlnm.Print_Area" localSheetId="2">'SO 01-ELEKTRO'!$A$1:$K$51</definedName>
  </definedNames>
  <calcPr fullCalcOnLoad="1"/>
</workbook>
</file>

<file path=xl/sharedStrings.xml><?xml version="1.0" encoding="utf-8"?>
<sst xmlns="http://schemas.openxmlformats.org/spreadsheetml/2006/main" count="1477" uniqueCount="676">
  <si>
    <t>ČOV Týnec nad Sázavou, Dostavba dosazovací nádrže II.</t>
  </si>
  <si>
    <t>Sestavení nákladů</t>
  </si>
  <si>
    <t>Kompletační</t>
  </si>
  <si>
    <t xml:space="preserve">Celkem </t>
  </si>
  <si>
    <t>Stavební objekt</t>
  </si>
  <si>
    <t>ZRN</t>
  </si>
  <si>
    <t>NUS</t>
  </si>
  <si>
    <t>činnost</t>
  </si>
  <si>
    <t>Celkem</t>
  </si>
  <si>
    <t>DPH</t>
  </si>
  <si>
    <t>vč. DPH</t>
  </si>
  <si>
    <t>SO 01 - Dosazovací nádrž II</t>
  </si>
  <si>
    <t>SO 03 - Spojovací potrubí</t>
  </si>
  <si>
    <t>SO 04 - Přeložka užitkové vody</t>
  </si>
  <si>
    <t>SO 05 – Přeložka stávající kanalizace</t>
  </si>
  <si>
    <t>PS 01 - Dosazovací nádrž II</t>
  </si>
  <si>
    <t>Základní rozpočtové náklady</t>
  </si>
  <si>
    <t>1.</t>
  </si>
  <si>
    <t>Zemní práce</t>
  </si>
  <si>
    <t>2.</t>
  </si>
  <si>
    <t>Vrty, zakládání</t>
  </si>
  <si>
    <t>3.</t>
  </si>
  <si>
    <t>Konstrukce svislé</t>
  </si>
  <si>
    <t>4.</t>
  </si>
  <si>
    <t>Úpravy povrchů</t>
  </si>
  <si>
    <t>5.</t>
  </si>
  <si>
    <t>Dokončující konstrukce a práce</t>
  </si>
  <si>
    <t>6.</t>
  </si>
  <si>
    <t>Izolace proti vodě</t>
  </si>
  <si>
    <t>7.</t>
  </si>
  <si>
    <t>Ocelové doplňkové konstrukce</t>
  </si>
  <si>
    <t>801-5</t>
  </si>
  <si>
    <t>Součet</t>
  </si>
  <si>
    <t>8.</t>
  </si>
  <si>
    <t>998 14-2251</t>
  </si>
  <si>
    <t>Přesun hmot</t>
  </si>
  <si>
    <t>t</t>
  </si>
  <si>
    <t>9.</t>
  </si>
  <si>
    <t>Uzemnění dosazovací nádrže - dle dílčího rozpočtu</t>
  </si>
  <si>
    <t>Náklady na umístění stavby</t>
  </si>
  <si>
    <t>Zařízení staveniště</t>
  </si>
  <si>
    <t>Kč</t>
  </si>
  <si>
    <t>Území se ztíž. výrob. podmínkami</t>
  </si>
  <si>
    <t>Celkem vč. DPH</t>
  </si>
  <si>
    <t>Poř.č.</t>
  </si>
  <si>
    <t>Číslo položky</t>
  </si>
  <si>
    <t>Text</t>
  </si>
  <si>
    <t>M.j.</t>
  </si>
  <si>
    <t>Množství</t>
  </si>
  <si>
    <t>Jedn. cena</t>
  </si>
  <si>
    <t>Jedn. hmot.</t>
  </si>
  <si>
    <t>Celk. hmot.</t>
  </si>
  <si>
    <t>800-1</t>
  </si>
  <si>
    <t>115 10-1201</t>
  </si>
  <si>
    <t>Čerpání vody na výšku do 10 m do 2000 l/min</t>
  </si>
  <si>
    <t>hod</t>
  </si>
  <si>
    <t>115 10-1301</t>
  </si>
  <si>
    <t>Pohotovost čerpací soupravy</t>
  </si>
  <si>
    <t>den</t>
  </si>
  <si>
    <t>121 10-1103</t>
  </si>
  <si>
    <t>Sejmutí ornice ručně tl. 150mm s vodorovným přemístěním do 50 m</t>
  </si>
  <si>
    <t>17,00*14,00*0,20</t>
  </si>
  <si>
    <t>m3</t>
  </si>
  <si>
    <t>131 20-1102</t>
  </si>
  <si>
    <t>Hloubení nezapažených jam v hor. 3 do 1000 m3 ručním nebo pneu nářadím</t>
  </si>
  <si>
    <t>Prům. kóta RT - 258,70</t>
  </si>
  <si>
    <t>zvětralý granodiorit - 255,50</t>
  </si>
  <si>
    <t>(4,63*4,63+7,83*7,83)*0,50*3,20</t>
  </si>
  <si>
    <t>132,39*0,50</t>
  </si>
  <si>
    <t>131 20-1109</t>
  </si>
  <si>
    <t>Příplatek za lepivost hor. 3</t>
  </si>
  <si>
    <t>66,20*0,50</t>
  </si>
  <si>
    <t>131 30-1102</t>
  </si>
  <si>
    <t>Hloubení nezapažených jam v hor. 4 do 1000 m3 ručním nebo pneu nářadím</t>
  </si>
  <si>
    <t>131 30-1109</t>
  </si>
  <si>
    <t>Příplatek za lepivost hor. 4</t>
  </si>
  <si>
    <t>100 00 1171</t>
  </si>
  <si>
    <t>Vrty pro odstřel v hor tř 6 délky do 6 m, průměr do 70 mm</t>
  </si>
  <si>
    <t>m</t>
  </si>
  <si>
    <t>Vrty pro odstřel v hor tř 7 délky do 6 m, průměr do 70 mm</t>
  </si>
  <si>
    <t>100 00 1300</t>
  </si>
  <si>
    <t xml:space="preserve">Nabití a utěsnění vrtů a odstřel </t>
  </si>
  <si>
    <t>100 00 1500</t>
  </si>
  <si>
    <t>Dočištění stěny po dostřelu</t>
  </si>
  <si>
    <t>m2</t>
  </si>
  <si>
    <t>100 00 1600</t>
  </si>
  <si>
    <t>Urovnání etáže po odstřelu a další odstřel</t>
  </si>
  <si>
    <t>138 50-1101</t>
  </si>
  <si>
    <t xml:space="preserve">Dolamování vykopávek jam v hor. 6 </t>
  </si>
  <si>
    <t>s použitím ručního nářadí tl do 500mm</t>
  </si>
  <si>
    <t>zdravý granodiorit - 255,00</t>
  </si>
  <si>
    <t>(4,13*4,13+4,63*4,63)*0,5*0,50</t>
  </si>
  <si>
    <t>138 60-1101</t>
  </si>
  <si>
    <t>Dolamování vykopávek jam v hor. 7</t>
  </si>
  <si>
    <t>Kóta dna - 251,95</t>
  </si>
  <si>
    <t>(1,08*1,08+4,13*4,13)*0,5*3,05</t>
  </si>
  <si>
    <t>130 00 11001</t>
  </si>
  <si>
    <t>Příplatek k cenám za ztížení vykopávky v horninách soudržných</t>
  </si>
  <si>
    <t>161 10 1653</t>
  </si>
  <si>
    <t>Vytažení výkopku těženého tř. 5 až 7 z hloubky do 6 m</t>
  </si>
  <si>
    <t>800-2</t>
  </si>
  <si>
    <t>10.</t>
  </si>
  <si>
    <t>153 21-1002</t>
  </si>
  <si>
    <t>Zřízení stříkaného betonu svislých ploch tl. Do 300 mm</t>
  </si>
  <si>
    <t>1,08*1,08+(1,08+7,83)*0,5*7,55*4</t>
  </si>
  <si>
    <t>SPC</t>
  </si>
  <si>
    <t>11.</t>
  </si>
  <si>
    <t>Betonová směs třída C 12/15</t>
  </si>
  <si>
    <t>135,71*0,10</t>
  </si>
  <si>
    <t>12.</t>
  </si>
  <si>
    <t>161 10-1104</t>
  </si>
  <si>
    <t>Svislé přemístění výkopku hor. 1-4 do 8 m</t>
  </si>
  <si>
    <t>132,39*0,40</t>
  </si>
  <si>
    <t>13.</t>
  </si>
  <si>
    <t>161 10-1154</t>
  </si>
  <si>
    <t>Svislé přemístění výkopku hor. 5-7 do 8 m</t>
  </si>
  <si>
    <t>(9,62+27,79)*0,40</t>
  </si>
  <si>
    <t>14.</t>
  </si>
  <si>
    <t>171 10-1103</t>
  </si>
  <si>
    <t>Uložení sypaniny do násypů zhutněných na 103% PS</t>
  </si>
  <si>
    <t>Prům. výška násypu - 261,45-258,70 = 2,75 m</t>
  </si>
  <si>
    <t>(16,10*13,35+10,60*10,60)*0,5*2,75</t>
  </si>
  <si>
    <t>9,60*9,60*1,25*-1+(9,60*9,60+7,83*7,83)*0,5*(2,75-1,25)*-1</t>
  </si>
  <si>
    <t>15.</t>
  </si>
  <si>
    <t>171 15-1101</t>
  </si>
  <si>
    <t>Hutnění boků násypů</t>
  </si>
  <si>
    <t>(10,60+16,10)*0,5*3,90*3</t>
  </si>
  <si>
    <t>16.</t>
  </si>
  <si>
    <t>181 30-1102</t>
  </si>
  <si>
    <t>Rozprostření ornice v rovině tl. do 150 mm do 500 m2</t>
  </si>
  <si>
    <t>47,60/0,15-156,20</t>
  </si>
  <si>
    <t>17.</t>
  </si>
  <si>
    <t>182 30-1122</t>
  </si>
  <si>
    <t>Rozprostření ornice na svahu tl. do 150 mm do 500 m2</t>
  </si>
  <si>
    <t>18.</t>
  </si>
  <si>
    <t>182 20-1101</t>
  </si>
  <si>
    <t>Svahování násypů</t>
  </si>
  <si>
    <t>19.</t>
  </si>
  <si>
    <t>162 30-1101</t>
  </si>
  <si>
    <t>Vodorovné přemístění výkopku hor. 1-4 do 500 m</t>
  </si>
  <si>
    <t>ornice z mezideponie pro rozprostření</t>
  </si>
  <si>
    <t>výkopek na mezideponii a zpět pro násyp do 10000 m</t>
  </si>
  <si>
    <t>132,39*2</t>
  </si>
  <si>
    <t>chybějící zemina pro násyp z SO 04</t>
  </si>
  <si>
    <t>74,96-59,33</t>
  </si>
  <si>
    <t>chybějící zemina pro násyp z SO 03</t>
  </si>
  <si>
    <t>30,49-16,21</t>
  </si>
  <si>
    <t>20.</t>
  </si>
  <si>
    <t>162 30-1151</t>
  </si>
  <si>
    <t>Vodorovné přemístění výkopku hor. 5-7 do 500 m</t>
  </si>
  <si>
    <t>výkopek na mezideponii a zpět pro násyp a zásyp</t>
  </si>
  <si>
    <t>(9,62+27,79)*2</t>
  </si>
  <si>
    <t>21.</t>
  </si>
  <si>
    <t>162 70-1105</t>
  </si>
  <si>
    <t>Vodorovné přemístění výkopku hor. 1-4 do 10000 m</t>
  </si>
  <si>
    <t>chybějící zemina pro násyp z deponie</t>
  </si>
  <si>
    <t>219,73-132,39-15,63-14,28-9,62-27,79</t>
  </si>
  <si>
    <t>22.</t>
  </si>
  <si>
    <t>162 70-1109</t>
  </si>
  <si>
    <t>Příplatek za dalších 1000 m v hor. 1-4</t>
  </si>
  <si>
    <t>20,02*5</t>
  </si>
  <si>
    <t>23.</t>
  </si>
  <si>
    <t>167 10-1101</t>
  </si>
  <si>
    <t>Nakládání výkopku hor. 1-4 do 100 m3</t>
  </si>
  <si>
    <t>ornice na mezideponii</t>
  </si>
  <si>
    <t>chybějící zemina pro násyp na deponii</t>
  </si>
  <si>
    <t>24.</t>
  </si>
  <si>
    <t>167 10-1102</t>
  </si>
  <si>
    <t>Nakládání výkopku hor. 1-4 přes 100 m3</t>
  </si>
  <si>
    <t>výkopek na mezideponii pro násyp a zásyp</t>
  </si>
  <si>
    <t>25.</t>
  </si>
  <si>
    <t>167 10-1152</t>
  </si>
  <si>
    <t>Nakládání výkopku hor. 5-7 přes 100 m3</t>
  </si>
  <si>
    <t>9,62+27,79</t>
  </si>
  <si>
    <t>823-1</t>
  </si>
  <si>
    <t>26.</t>
  </si>
  <si>
    <t>180 40-2111</t>
  </si>
  <si>
    <t>Založení trávníku parkového výsevem v rovině</t>
  </si>
  <si>
    <t>27.</t>
  </si>
  <si>
    <t>180 40-2113</t>
  </si>
  <si>
    <t>Založení trávníku parkového výsevem na svahu</t>
  </si>
  <si>
    <t>28.</t>
  </si>
  <si>
    <t>Travní semeno - parková směs</t>
  </si>
  <si>
    <t>(1,61+1,56)*3,00*1,05</t>
  </si>
  <si>
    <t>kg</t>
  </si>
  <si>
    <t>29.</t>
  </si>
  <si>
    <t>185 80-3111</t>
  </si>
  <si>
    <t>Ošetření trávníku v rovině</t>
  </si>
  <si>
    <t>30.</t>
  </si>
  <si>
    <t>185 80-3113</t>
  </si>
  <si>
    <t>Ošetření trávníku na svahu</t>
  </si>
  <si>
    <t>31.</t>
  </si>
  <si>
    <t>185 80-4312</t>
  </si>
  <si>
    <t>Zalití rostlin</t>
  </si>
  <si>
    <t>předpoklad 20 l/m2</t>
  </si>
  <si>
    <t>0,02*(161,13+156,20)</t>
  </si>
  <si>
    <t>213 31-1142</t>
  </si>
  <si>
    <t>Polštáře pod základy ze štěrkopísku</t>
  </si>
  <si>
    <t>1,08*1,08*0,15</t>
  </si>
  <si>
    <t>225 51-1112</t>
  </si>
  <si>
    <t>Maloprofilové vrty průměru do 245 mm v hor. I a II</t>
  </si>
  <si>
    <t>do 25 m</t>
  </si>
  <si>
    <t>6,50*0,50</t>
  </si>
  <si>
    <t>225 51-1116</t>
  </si>
  <si>
    <t>Maloprofilové vrty průměru do 245 mm v hor. V a VI</t>
  </si>
  <si>
    <t>227 11-1115</t>
  </si>
  <si>
    <t>Odpažení maloprofilových vrtů průměru do 245 mm</t>
  </si>
  <si>
    <t>231 11-3111</t>
  </si>
  <si>
    <t>Zřízení výplně pilot průměru do 450 mm ze štěrkopísku</t>
  </si>
  <si>
    <t>Kamenivo těžené drobné, frakce 0-4 mm</t>
  </si>
  <si>
    <t>0,10*0,10*3,14*1,15*1,67*6,50</t>
  </si>
  <si>
    <t>380 32-6243</t>
  </si>
  <si>
    <t>Kompletní konstrukce z betonu železového tř.</t>
  </si>
  <si>
    <t>C 30/37 XC4, XF3, XA1</t>
  </si>
  <si>
    <t>0,40*1,25*(9,60+8,80)*2+1,08*1,08*0,40</t>
  </si>
  <si>
    <t>0,40*(1,08+9,60)*0,5*8,55*4</t>
  </si>
  <si>
    <t xml:space="preserve">´2. </t>
  </si>
  <si>
    <t xml:space="preserve">457 62 31 11 </t>
  </si>
  <si>
    <t>Těsnící plech bitumenový</t>
  </si>
  <si>
    <t>380 35-6241</t>
  </si>
  <si>
    <t>Bednění kompletních konstrukcí ploch rovinných</t>
  </si>
  <si>
    <t>Z betonu vodostavebného zřízení</t>
  </si>
  <si>
    <t>1,25*9,60*4+1,25*8,80*4+(7,83+9,60)*0,5*1,70*4</t>
  </si>
  <si>
    <t>(0,60+8,80)*0,5*8,55*4</t>
  </si>
  <si>
    <t>380 35-6242</t>
  </si>
  <si>
    <t>odstranění</t>
  </si>
  <si>
    <t>380 36-1006</t>
  </si>
  <si>
    <t>Výztuž kompletních konstrukcí z oceli 10 505</t>
  </si>
  <si>
    <t>801-1</t>
  </si>
  <si>
    <t>621 11-1111</t>
  </si>
  <si>
    <t>Vyspravení povrchu neomítaných vnějších ploch</t>
  </si>
  <si>
    <t>železobetonových s rozetřením ploch do ztracena</t>
  </si>
  <si>
    <t>maltou cementovou podhledů</t>
  </si>
  <si>
    <t>(7,83+9,60)*0,5*1,70*4</t>
  </si>
  <si>
    <t>622 11-1111</t>
  </si>
  <si>
    <t>maltou cementovou stěn</t>
  </si>
  <si>
    <t>1,25*9,60*4</t>
  </si>
  <si>
    <t>635 11-1215</t>
  </si>
  <si>
    <t>Násyp pod podlahy ze štěrkopísku</t>
  </si>
  <si>
    <t>pod chodník</t>
  </si>
  <si>
    <t>0,60*(9,60+10,60)*2*0,15</t>
  </si>
  <si>
    <t>637 21-1122</t>
  </si>
  <si>
    <t>Okapový chodník z dlaždic betonových do písku</t>
  </si>
  <si>
    <t>0,50*(9,60+10,60)*2</t>
  </si>
  <si>
    <t>952 90-3112</t>
  </si>
  <si>
    <t>Vyčištění objektu</t>
  </si>
  <si>
    <t>9,60*9,60</t>
  </si>
  <si>
    <t>952 90-3119</t>
  </si>
  <si>
    <t>Příplatek za vyčištění prostoru v. přes 3,50 m</t>
  </si>
  <si>
    <t>933 90-1111</t>
  </si>
  <si>
    <t>Provedení zkoušky vodotěsnosti nádrže</t>
  </si>
  <si>
    <t>(0,60*0,60+8,80*8,80)*0,5*7,65+8,80*8,80*1,25</t>
  </si>
  <si>
    <t>082 113 200</t>
  </si>
  <si>
    <t>Voda - vodné</t>
  </si>
  <si>
    <t>082 313 200</t>
  </si>
  <si>
    <t>Voda - stočné</t>
  </si>
  <si>
    <t>953 96-1211</t>
  </si>
  <si>
    <t>Chemické kotvy s vyvrtáním otvoru do železobetonu M8</t>
  </si>
  <si>
    <t>40+16</t>
  </si>
  <si>
    <t>ks</t>
  </si>
  <si>
    <t>953 96-5111</t>
  </si>
  <si>
    <t>Kotevní šrouby pro chemické kotvy M8 dl. 110 mm</t>
  </si>
  <si>
    <t>801-3</t>
  </si>
  <si>
    <t>971 05-2341</t>
  </si>
  <si>
    <t>Vybourání otvorů v železobetonových zdech do 0,09 m2</t>
  </si>
  <si>
    <t>tl. do 300 mm</t>
  </si>
  <si>
    <t>971 05-2351</t>
  </si>
  <si>
    <t>tl. do 450 mm</t>
  </si>
  <si>
    <t>971 05-2441</t>
  </si>
  <si>
    <t>Vybourání otvorů v železobetonových zdech do 0,25 m2</t>
  </si>
  <si>
    <t>971 05-2451</t>
  </si>
  <si>
    <t>997 01-3501</t>
  </si>
  <si>
    <t xml:space="preserve">Odvoz suti na skládku do 1 km </t>
  </si>
  <si>
    <t>0,059+0,104+0,187+0,28*2</t>
  </si>
  <si>
    <t>997 01-3509</t>
  </si>
  <si>
    <t>Za každý další 1 km</t>
  </si>
  <si>
    <t>0,91*14</t>
  </si>
  <si>
    <t>800-711</t>
  </si>
  <si>
    <t>711 11-2001</t>
  </si>
  <si>
    <t>Provedení izolace proti zemní vlhkosti nátěrem</t>
  </si>
  <si>
    <t>Krystalizačním na ploše svislé</t>
  </si>
  <si>
    <t>59,26+48,00</t>
  </si>
  <si>
    <t>711 11-2002</t>
  </si>
  <si>
    <t xml:space="preserve">krystalizačním  na ploše šikmé </t>
  </si>
  <si>
    <t>107,26*2</t>
  </si>
  <si>
    <t xml:space="preserve">Nátěr penetrační </t>
  </si>
  <si>
    <t>0,00035*107,26</t>
  </si>
  <si>
    <t>Nátěr asfaltový</t>
  </si>
  <si>
    <t>0,00085*214,52</t>
  </si>
  <si>
    <t>998 71-1201</t>
  </si>
  <si>
    <t>%</t>
  </si>
  <si>
    <t>800-767</t>
  </si>
  <si>
    <t>767 16-1111</t>
  </si>
  <si>
    <t>Montáž zábradlí ocelového do 20 kg/m do zdiva</t>
  </si>
  <si>
    <t>Dodávka zábradlí z nerezové oceli výšky 1100 mm</t>
  </si>
  <si>
    <t>Dodávka kotevních destiček vel. 100/100x5 mm</t>
  </si>
  <si>
    <t>Dodávka kotevních destiček vel. 200/180x6 mm</t>
  </si>
  <si>
    <t>998 76-7201</t>
  </si>
  <si>
    <t>Zednické výpomoci</t>
  </si>
  <si>
    <t>Zakázka č: 20130106</t>
  </si>
  <si>
    <t>Název akce: ČOV Týnec n/Sázavou, Dostavba DN II, Elektroinstalace - Hromosvod</t>
  </si>
  <si>
    <t>Specifikace materiálu - výkaz výměr</t>
  </si>
  <si>
    <t>P.Č.</t>
  </si>
  <si>
    <t>CENÍK M21</t>
  </si>
  <si>
    <t>NÁZEV</t>
  </si>
  <si>
    <t>DOPORUČENÝ STANDARD</t>
  </si>
  <si>
    <t>DOPORUČ.VÝROBCE</t>
  </si>
  <si>
    <t>POZNÁMKA</t>
  </si>
  <si>
    <t>ks/m/hod</t>
  </si>
  <si>
    <t>MONTÁŽ</t>
  </si>
  <si>
    <t>MATERIÁL</t>
  </si>
  <si>
    <t>jed.cena</t>
  </si>
  <si>
    <t>celkem</t>
  </si>
  <si>
    <t>Rozvaděče:</t>
  </si>
  <si>
    <t>nejsou obsaženy</t>
  </si>
  <si>
    <t>Svítidla(včetně světelných zdrojů a příslušenství):</t>
  </si>
  <si>
    <t>Kabely:</t>
  </si>
  <si>
    <t>Koncové prvky:</t>
  </si>
  <si>
    <t>Instalační materiál:</t>
  </si>
  <si>
    <t xml:space="preserve">                                                                                                                                                               </t>
  </si>
  <si>
    <t>Jímací vodič FeZn 8 mm, vč. Podpěr</t>
  </si>
  <si>
    <t>Svodový vodič FeZn pr. 10 mm</t>
  </si>
  <si>
    <t>Svorka spojovací  (SS)</t>
  </si>
  <si>
    <t>Svorka křížová  (SK)</t>
  </si>
  <si>
    <t>Zemnící pásek FeZn 30x 4 vč. Svorek</t>
  </si>
  <si>
    <t>Svorka připojovací (SP)</t>
  </si>
  <si>
    <t>Svorka zkušební (SZ)</t>
  </si>
  <si>
    <t>Plastový označovací štítek</t>
  </si>
  <si>
    <t>Svorka na trubku do 50 mm</t>
  </si>
  <si>
    <t>Svorka univerzální</t>
  </si>
  <si>
    <t>Montáž hromosvodu vč. Přípravy</t>
  </si>
  <si>
    <t>kpl</t>
  </si>
  <si>
    <t>Ostatní materiál:</t>
  </si>
  <si>
    <t>Podružný elektroinstalační materiál</t>
  </si>
  <si>
    <t>Spojené ostatní práce:</t>
  </si>
  <si>
    <t>výkop 35x 70 pro uzemnění</t>
  </si>
  <si>
    <t>Ostatní:</t>
  </si>
  <si>
    <t>Výchozí revize</t>
  </si>
  <si>
    <t>Výrobní dokumentace</t>
  </si>
  <si>
    <t>PD skutečného provedení</t>
  </si>
  <si>
    <t xml:space="preserve"> </t>
  </si>
  <si>
    <t>Při zpracování nabídky je nutné vycházet ze všech částí dokumentace (technické zprávy, seznamu pozice, všech výkresů a specifikace materiálu).</t>
  </si>
  <si>
    <t>Povinností dodavatele je překontrolovat specifikaci materiálu a případný chybějící materiál nebo výkony doplnit a ocenit.</t>
  </si>
  <si>
    <t>Součástí ceny musí být veškeré náklady, aby cena byla konečná a zahrnovala celou dodávku a montáž akce.</t>
  </si>
  <si>
    <t>Poznámka:</t>
  </si>
  <si>
    <t>Dodávka akce se předpokládá včetně kompletní montáže, veškerého souvisejícího doplňkového, podružného a montážního materiálu tak,</t>
  </si>
  <si>
    <t>aby celé zařízení bylo funkční a splňovalo všechny předpisy, které se na ně vztahují.</t>
  </si>
  <si>
    <t>Podkladní konstrukce</t>
  </si>
  <si>
    <t>Trubní vedení</t>
  </si>
  <si>
    <t>Potrubí ocelové</t>
  </si>
  <si>
    <t>827-1</t>
  </si>
  <si>
    <t>998 27-6101</t>
  </si>
  <si>
    <t>132 20-1201</t>
  </si>
  <si>
    <t>Hloubení rýh šířky do 2000 mm v hor. 3 do 100 m3</t>
  </si>
  <si>
    <t>Přítok do DN II - prům. hl. = 1,81 m</t>
  </si>
  <si>
    <t>1,20*1,81*6,80</t>
  </si>
  <si>
    <t>rozšíření a prohloubení pro šachty - 10%</t>
  </si>
  <si>
    <t>14,77*0,10</t>
  </si>
  <si>
    <t>Přeložka výtlaku - prům. hl. = 1,78 m</t>
  </si>
  <si>
    <t>1,00*1,78*8,00</t>
  </si>
  <si>
    <t>30,49*0,50</t>
  </si>
  <si>
    <t>132 20-1209</t>
  </si>
  <si>
    <t>15,25*0,50</t>
  </si>
  <si>
    <t>132 30-1201</t>
  </si>
  <si>
    <t>Hloubení rýh šířky do 2000 mm v hor. 4 do 100 m3</t>
  </si>
  <si>
    <t>132 30-1209</t>
  </si>
  <si>
    <t>151 10-1101</t>
  </si>
  <si>
    <t>Zřízení pažení a rozepření rýh příložné do 2 m</t>
  </si>
  <si>
    <t>1,81*6,80*2+1,78*8,00*2</t>
  </si>
  <si>
    <t>151 10-1111</t>
  </si>
  <si>
    <t>Odstranění pažení a rozepření rýh příložné do 2 m</t>
  </si>
  <si>
    <t>161 10-1101</t>
  </si>
  <si>
    <t>Svislé přemístění výkopku hor. 1-4 do 2,5 m</t>
  </si>
  <si>
    <t>175 10-1101</t>
  </si>
  <si>
    <t>Obsyp potrubí kopaným pískem</t>
  </si>
  <si>
    <t>1,20*0,60*(6,80+1,20)+1,00*0,45*(8,00+1,20)</t>
  </si>
  <si>
    <t>0,16*0,16*3,14*(6,80+1,20)*-1</t>
  </si>
  <si>
    <t>9,26*1,67*1,23</t>
  </si>
  <si>
    <t>174 10-1101</t>
  </si>
  <si>
    <t>Zásyp jam sypaninou se zhutněním</t>
  </si>
  <si>
    <t>Celkem vytěžená kubatura</t>
  </si>
  <si>
    <t>Odpočet vytlačené kubatury</t>
  </si>
  <si>
    <t>1,20*0,75*6,80*-1+1,00*0,60*8,00*-1</t>
  </si>
  <si>
    <t>šachty</t>
  </si>
  <si>
    <t>0,32*0,32*3,14*1,80*-1+0,74*0,74*3,14*1,62*-1</t>
  </si>
  <si>
    <t>zemina na mezideponii</t>
  </si>
  <si>
    <t>zpět pro zásyp</t>
  </si>
  <si>
    <t>výkopek na mezideponii pro zásyp</t>
  </si>
  <si>
    <t>451 57-3111</t>
  </si>
  <si>
    <t>Lože pod potrubí z písku</t>
  </si>
  <si>
    <t>1,20*0,15*(6,80+1,20)+1,00*0,15*(8,00+1,20)</t>
  </si>
  <si>
    <t>452 31-1131</t>
  </si>
  <si>
    <t>Deska z betonu prostého tř. C 12/15</t>
  </si>
  <si>
    <t>pod rozdělovací šachtu</t>
  </si>
  <si>
    <t>1,70*1,70*0,10</t>
  </si>
  <si>
    <t>851 31-1131</t>
  </si>
  <si>
    <t>Montáž potrubí z trub litinových tlakových hrdlových</t>
  </si>
  <si>
    <t>DN 150 mm</t>
  </si>
  <si>
    <t>Trouby litinové hrdlové DN 150 mm - tvárná litina</t>
  </si>
  <si>
    <t>857 31-1131</t>
  </si>
  <si>
    <t xml:space="preserve">Montáž litinových tvarovek jednoosých hrdlových </t>
  </si>
  <si>
    <t>Koleno hrdlové DN 150 mm, 11 1/4 st. tvárná litina</t>
  </si>
  <si>
    <t>Koleno hrdlové DN 150 mm, 45 st. tvárná litina</t>
  </si>
  <si>
    <t>Koleno hrdlové DN 150 mm, 90 st. tvárná litina</t>
  </si>
  <si>
    <t>Kroužky těsnící gumové STANDART DN 150 mm</t>
  </si>
  <si>
    <t>8,00*1,02</t>
  </si>
  <si>
    <t>892 35-1111</t>
  </si>
  <si>
    <t>Tlaková zkouška potrubí DN 150 mm</t>
  </si>
  <si>
    <t>892 37-2111</t>
  </si>
  <si>
    <t>Zabezpečení konců potrubí při tlakových zkouškách</t>
  </si>
  <si>
    <t>DN do 300 mm</t>
  </si>
  <si>
    <t>Přepojení na stávající výtlak DN 150 mm</t>
  </si>
  <si>
    <t>kpl.</t>
  </si>
  <si>
    <t>871 37-5221</t>
  </si>
  <si>
    <t>Kanalizační potrubí UR 2 SN 160 PP</t>
  </si>
  <si>
    <t>třídy SN 8 DN 300 mm</t>
  </si>
  <si>
    <t>894 81-2326</t>
  </si>
  <si>
    <t>Dno šachtové VARIO DN 600/315 mm</t>
  </si>
  <si>
    <t>894 81-2332</t>
  </si>
  <si>
    <t>Roura šachtová korungovaná hl. 2000 mm</t>
  </si>
  <si>
    <t>894 81-2339</t>
  </si>
  <si>
    <t>Příplatek za uříznutí šachtové roury</t>
  </si>
  <si>
    <t>894 81-2351</t>
  </si>
  <si>
    <t>Poklop litinový pro zatížení do 1,5 t s betonovým</t>
  </si>
  <si>
    <t>prstencem</t>
  </si>
  <si>
    <t>894 40-3011</t>
  </si>
  <si>
    <t>Osazení dílců stropních</t>
  </si>
  <si>
    <t>Deska TZK.Q1 120-100/25</t>
  </si>
  <si>
    <t>894 41-4111</t>
  </si>
  <si>
    <t>Osazení skruží základových</t>
  </si>
  <si>
    <t>Šachtové dno TBZ.Q1-120/120</t>
  </si>
  <si>
    <t>899 10-2111</t>
  </si>
  <si>
    <t>Osazení poklopů litinových hmotnosti do 100 kg</t>
  </si>
  <si>
    <t>Poklop litinový kruhový 600 B125</t>
  </si>
  <si>
    <t>899 40-1112</t>
  </si>
  <si>
    <t>Osazení poklopů litinových šoupátkových</t>
  </si>
  <si>
    <t>Poklop litinový šoupátkový</t>
  </si>
  <si>
    <t>891 37-2121</t>
  </si>
  <si>
    <t>Montáž kanalizačních šoupátek DN 300 mm</t>
  </si>
  <si>
    <t>Šoupátko kanalizační vřetenové DN 300 mm s nástavcem</t>
  </si>
  <si>
    <t>pro T-klíč</t>
  </si>
  <si>
    <t>Zkouška těsnosti potrubí DN 150-300 mm</t>
  </si>
  <si>
    <t>969 01-1141</t>
  </si>
  <si>
    <t>Vybourání potrubí litinového do DN 200 mm</t>
  </si>
  <si>
    <t>Odvoz suti na skládku do 1 km (do šrotu)</t>
  </si>
  <si>
    <t>0,063*8,50</t>
  </si>
  <si>
    <t>0,54*14</t>
  </si>
  <si>
    <t>23-M</t>
  </si>
  <si>
    <t>230 14-0071</t>
  </si>
  <si>
    <t>Montáž potrubí z nerezové oceli d 159x3,0 mm</t>
  </si>
  <si>
    <t>230 14-0091</t>
  </si>
  <si>
    <t>Montáž potrubí z nerezové oceli d 324x3,0 mm</t>
  </si>
  <si>
    <t>Potrubí ocelové nerezové d 159x3,0 mm</t>
  </si>
  <si>
    <t>1,20*1,05</t>
  </si>
  <si>
    <t>Potrubí ocelové nerezové d 306x3,0 mm</t>
  </si>
  <si>
    <t>Prům. hl. = 1,71 m</t>
  </si>
  <si>
    <t>0,80*1,71*28,50</t>
  </si>
  <si>
    <t>rozšíření pro VŠ</t>
  </si>
  <si>
    <t>(2,70-0,80)*1,71*2,70</t>
  </si>
  <si>
    <t>pro odstranění stávajícího potrubí - prům. hl. = 1,70 m</t>
  </si>
  <si>
    <t>1,00*1,70*16,00</t>
  </si>
  <si>
    <t>74,96*0,50</t>
  </si>
  <si>
    <t>37,48*0,50</t>
  </si>
  <si>
    <t>1,71*28,50*2+1,70*16,00*2</t>
  </si>
  <si>
    <t>0,80*0,36*28,50</t>
  </si>
  <si>
    <t>8,21*1,67*1,23</t>
  </si>
  <si>
    <t>0,80*0,51*28,50*-1</t>
  </si>
  <si>
    <t>2,50*2,50*0,25*-1+0,75*0,75*3,14*1,38*-1</t>
  </si>
  <si>
    <t>0,80*0,15*(28,50-2,50)+2,50*2,50*0,10</t>
  </si>
  <si>
    <t>pod VŠ</t>
  </si>
  <si>
    <t>2,50*2,50*0,15</t>
  </si>
  <si>
    <t>871 21-1121</t>
  </si>
  <si>
    <t>Montáž potrubí z tlakových trubek polyetylenových</t>
  </si>
  <si>
    <t>vnějšího průměru 63 m</t>
  </si>
  <si>
    <t>Trubky PE- Xa d 63x5,8 mm</t>
  </si>
  <si>
    <t>28,50*1,015</t>
  </si>
  <si>
    <t>Nákružek lemový PE HD d 63 mm intergrovaný s přírubou</t>
  </si>
  <si>
    <t>2,00*1,015</t>
  </si>
  <si>
    <t>850 24-5121</t>
  </si>
  <si>
    <t>Výsek na potrubí z trub litinových tlakových DN 80 mm</t>
  </si>
  <si>
    <t>857 24-1131</t>
  </si>
  <si>
    <t>Montáž litinových tvarovek jednoosých hrdlových</t>
  </si>
  <si>
    <t>DN 80 mm</t>
  </si>
  <si>
    <t>Tvarovka hrdlová s přírubou EU DN 80 mm - tvárná litina</t>
  </si>
  <si>
    <t>857 24-2121</t>
  </si>
  <si>
    <t>Montáž litinových tvarovek jednoosých přírubových</t>
  </si>
  <si>
    <t>srovnatelně DN 50 mm</t>
  </si>
  <si>
    <t>Točivá příruba DN 50 mm</t>
  </si>
  <si>
    <t>Koleno přírubové Q DN 80 mm 90 st. - tvárná litina</t>
  </si>
  <si>
    <t>Přechod přírubový RP DN 80/50 mm - tvárná litina</t>
  </si>
  <si>
    <t>Kroužky těsnící gumové DN 80 mm</t>
  </si>
  <si>
    <t>2,00*1,02</t>
  </si>
  <si>
    <t>Sada přírubového spoje DN 50 mm</t>
  </si>
  <si>
    <t>Sada přírubového spoje DN 80 mm</t>
  </si>
  <si>
    <t>4,00*1,02</t>
  </si>
  <si>
    <t>893 81-1221</t>
  </si>
  <si>
    <t>Osazení vodoměrné šachty PP obetonované pro statické</t>
  </si>
  <si>
    <t>zatížení plochy do 1,5 m2 hl. do 1,20 m</t>
  </si>
  <si>
    <t>Šachta vodoměrná plastová 1,20/1,20/1,20</t>
  </si>
  <si>
    <t>Osazení betonových dílů stropních</t>
  </si>
  <si>
    <t>Krycí deska vel. 1500x1500 mm tl. 280 mm s otvorem</t>
  </si>
  <si>
    <t>600 mm</t>
  </si>
  <si>
    <t>Poklop litinový D 400 OPTEMAX 600x600 mm</t>
  </si>
  <si>
    <t>Dodávka a montáž vodoměrné sestavy</t>
  </si>
  <si>
    <t>892 24-1111</t>
  </si>
  <si>
    <t>Tlaková zkouška potrubí DN do 80 mm</t>
  </si>
  <si>
    <t>DN do 80 mm</t>
  </si>
  <si>
    <t>892 27-3111</t>
  </si>
  <si>
    <t>Proplach a desinfekce vodovodního potrubí DN 80 mm</t>
  </si>
  <si>
    <t>Signální vodič vč. připevnění páskou k potrubí</t>
  </si>
  <si>
    <t>Výstražná folie</t>
  </si>
  <si>
    <t>969 01-1131</t>
  </si>
  <si>
    <t>Vybourání potrubí litinového do DN 125 mm</t>
  </si>
  <si>
    <t>15,50+16,00</t>
  </si>
  <si>
    <t>0,037*31,50</t>
  </si>
  <si>
    <t>1,17*14</t>
  </si>
  <si>
    <t>1,2*5,5*22</t>
  </si>
  <si>
    <t>rozšíření pro Š</t>
  </si>
  <si>
    <t>5*2*2</t>
  </si>
  <si>
    <t>pro odstranění stávajícího potrubí - prům. hl. = 2,2 m</t>
  </si>
  <si>
    <t>1,20*5,5*22</t>
  </si>
  <si>
    <t>290,2*,05</t>
  </si>
  <si>
    <t>145*0,50</t>
  </si>
  <si>
    <t>Zřízení pažení a rozepření rýh příložné do 8 m</t>
  </si>
  <si>
    <t>5,5*22*2</t>
  </si>
  <si>
    <t>Odstranění pažení a rozepření rýh příložné do 8 m</t>
  </si>
  <si>
    <t>1,2*0,45*22</t>
  </si>
  <si>
    <t>11,88*1,67*1,23</t>
  </si>
  <si>
    <t>1,2*0,45*22*-2</t>
  </si>
  <si>
    <t>1,2*0,15*22</t>
  </si>
  <si>
    <t>pod Š</t>
  </si>
  <si>
    <t>2,0*2,0*0,15</t>
  </si>
  <si>
    <t>Montáž potrubí z  trubek kanalizačních DN 500 PP</t>
  </si>
  <si>
    <t>Trrubka UR 2 SN 16 DN 500</t>
  </si>
  <si>
    <t>Napojení do stávající kanalizace z KT</t>
  </si>
  <si>
    <t>Kroužky těsnící svařovací DN 500 mm</t>
  </si>
  <si>
    <t>Šachta betonová v 5,5 m</t>
  </si>
  <si>
    <t>Tlaková zkouška potrubí do DN 500 mm</t>
  </si>
  <si>
    <t>DN do 500 mm</t>
  </si>
  <si>
    <t>Proplach  potrubí DN 500 mm</t>
  </si>
  <si>
    <t>Vybourání potrubí betonového do DN 500 mm s rozdrcením</t>
  </si>
  <si>
    <t>Odvoz suti na skládku do 11 km ( betonové trubky)</t>
  </si>
  <si>
    <t>0,37*22</t>
  </si>
  <si>
    <t>11,7*14</t>
  </si>
  <si>
    <t>KRYCÍ LIST ROZPOČTU</t>
  </si>
  <si>
    <t>Název stavby</t>
  </si>
  <si>
    <t>ČOV TÝNEC nad Sázavou - Dostavba dosazovací nádrže II.</t>
  </si>
  <si>
    <t>JKSO</t>
  </si>
  <si>
    <t>Název souboru</t>
  </si>
  <si>
    <t>PS 01   Dosazovací nádrž II.</t>
  </si>
  <si>
    <t>EČO</t>
  </si>
  <si>
    <t>Název části</t>
  </si>
  <si>
    <t>Strojní část</t>
  </si>
  <si>
    <t>Místo</t>
  </si>
  <si>
    <t>IČO</t>
  </si>
  <si>
    <t>DIČ</t>
  </si>
  <si>
    <t>Objednatel</t>
  </si>
  <si>
    <t>Město Týnec nad Sázavou</t>
  </si>
  <si>
    <t>Projektant</t>
  </si>
  <si>
    <t>FER&amp;MAN  Technologie spol.s r.o.</t>
  </si>
  <si>
    <t>Zhotovitel</t>
  </si>
  <si>
    <t>Rozpočet číslo</t>
  </si>
  <si>
    <t>Zpracoval</t>
  </si>
  <si>
    <t>Dne</t>
  </si>
  <si>
    <t>01-2013</t>
  </si>
  <si>
    <t>Brázda</t>
  </si>
  <si>
    <t>03.2013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</si>
  <si>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</si>
  <si>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</si>
  <si>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</si>
  <si>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</si>
  <si>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</si>
  <si>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</si>
  <si>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</si>
  <si>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</si>
  <si>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A</t>
  </si>
  <si>
    <t>Základní rozp. náklady</t>
  </si>
  <si>
    <t>B</t>
  </si>
  <si>
    <t>Doplňkové náklady</t>
  </si>
  <si>
    <t>C</t>
  </si>
  <si>
    <t>1</t>
  </si>
  <si>
    <t>HSV</t>
  </si>
  <si>
    <t>Dodávky</t>
  </si>
  <si>
    <t>8</t>
  </si>
  <si>
    <t>Práce přesčas</t>
  </si>
  <si>
    <t>13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</si>
  <si>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</si>
  <si>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</si>
  <si>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</si>
  <si>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</si>
  <si>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</si>
  <si>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</si>
  <si>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</si>
  <si>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</si>
  <si>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</si>
  <si>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</si>
  <si>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</si>
  <si>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</si>
  <si>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</si>
  <si>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</si>
  <si>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</si>
  <si>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</si>
  <si>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</si>
  <si>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</si>
  <si>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</si>
  <si>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</si>
  <si>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</si>
  <si>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</si>
  <si>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</si>
  <si>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</si>
  <si>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</si>
  <si>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</si>
  <si>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</si>
  <si>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</si>
  <si>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</si>
  <si>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</si>
  <si>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</si>
  <si>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</si>
  <si>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</si>
  <si>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</si>
  <si>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</si>
  <si>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</si>
  <si>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</si>
  <si>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</si>
  <si>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</si>
  <si>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</si>
  <si>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</si>
  <si>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</si>
  <si>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</si>
  <si>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</si>
  <si>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</si>
  <si>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</si>
  <si>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</si>
  <si>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</si>
  <si>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</si>
  <si>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</si>
  <si>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</si>
  <si>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</si>
  <si>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</si>
  <si>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REKAPITULACE ROZPOČTU</t>
  </si>
  <si>
    <t xml:space="preserve">Stavba:   </t>
  </si>
  <si>
    <t>Soubor:</t>
  </si>
  <si>
    <t xml:space="preserve">Část:   </t>
  </si>
  <si>
    <t>Datum:  03.2013</t>
  </si>
  <si>
    <t>Kód</t>
  </si>
  <si>
    <t>Popis</t>
  </si>
  <si>
    <t>Dodávka</t>
  </si>
  <si>
    <t>Cena celkem</t>
  </si>
  <si>
    <t>Hmotnost celkem</t>
  </si>
  <si>
    <t>35-M</t>
  </si>
  <si>
    <t>Montáže čerpadel a vodohosp.zařízení</t>
  </si>
  <si>
    <t>M Celkem</t>
  </si>
  <si>
    <t xml:space="preserve">ROZPOČET  </t>
  </si>
  <si>
    <t xml:space="preserve">Objednatel:   </t>
  </si>
  <si>
    <t xml:space="preserve">Zhotovitel:   </t>
  </si>
  <si>
    <t xml:space="preserve">Datum:  </t>
  </si>
  <si>
    <t>KCN</t>
  </si>
  <si>
    <t>Kód položky</t>
  </si>
  <si>
    <t>MJ</t>
  </si>
  <si>
    <t>Množství celkem</t>
  </si>
  <si>
    <t>Cena jednotková</t>
  </si>
  <si>
    <t>M</t>
  </si>
  <si>
    <t>Práce M</t>
  </si>
  <si>
    <t>35 - M</t>
  </si>
  <si>
    <t>Montáže čerpadel, kompresorů a vodohosp.zařízení</t>
  </si>
  <si>
    <t>Montáž stroj zařízení DN</t>
  </si>
  <si>
    <t>kus</t>
  </si>
  <si>
    <t>spec</t>
  </si>
  <si>
    <t xml:space="preserve"> Vystrojení dosazovací nádrže DN 9000 -  sestávající:
 -  lávka 750 x 9000 mm se zábradlím – nerez 1.4301
 - pororošty kompozit
 - uklidňovací válec s odběrem plovoucích nečistot mamutkou 
   a přepadovou hranou – nerez 1.4301
 - 2x odtokový žlab 400 x 250 x 3 x 6000 mm s nornou stěnou 
   a přepadovou hranou – nerez 1.4301,
 - odtokové potrubí DN 300, 8000 mm – nerez 1.4301
 -  přítokové potrubí DN 300, 5000 mm– nerez 1.4301
 - odběr kalu DN 150, 10000 mm – nerez 1.4301
 -  konzoly, úchytky, kotevní materiál – nerez 1.4301 </t>
  </si>
  <si>
    <t>D+M 2 ks indukčních průtokoměrů na sacím potrubí  vratného kalu         vč. MaR, úprava ASŘ</t>
  </si>
  <si>
    <t>Odtokové kalové potrubí DN150 vč.kolena a příruby - nerez 1.4301</t>
  </si>
  <si>
    <t xml:space="preserve"> vodorovný přesun za 100kg váhy specifikace &lt; 500m</t>
  </si>
  <si>
    <t>q</t>
  </si>
  <si>
    <t xml:space="preserve"> podíl přidružených výkonů</t>
  </si>
  <si>
    <t xml:space="preserve"> zednické výpomoci - přirážka</t>
  </si>
  <si>
    <t xml:space="preserve"> dopravné ke specifikaci "M"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</si>
</sst>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0.0"/>
    <numFmt numFmtId="167" formatCode="###0;\-###0"/>
    <numFmt numFmtId="168" formatCode="#,##0;\-#,##0"/>
    <numFmt numFmtId="169" formatCode="0.00%;\-0.00%"/>
    <numFmt numFmtId="170" formatCode="#,##0.00;\-#,##0.00"/>
    <numFmt numFmtId="171" formatCode="#"/>
    <numFmt numFmtId="172" formatCode="#,##0.000;\-#,##0.000"/>
    <numFmt numFmtId="173" formatCode="0.000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sz val="9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2"/>
      <name val="Arial"/>
      <family val="2"/>
    </font>
    <font>
      <b/>
      <sz val="14"/>
      <color indexed="10"/>
      <name val="Arial CE"/>
      <family val="2"/>
    </font>
    <font>
      <sz val="6"/>
      <name val="Arial CE"/>
      <family val="2"/>
    </font>
    <font>
      <b/>
      <sz val="8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8"/>
      <name val="Arial CYR"/>
      <family val="2"/>
    </font>
    <font>
      <sz val="8"/>
      <name val="Segoe UI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 vertical="top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right"/>
    </xf>
    <xf numFmtId="4" fontId="2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1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1" fillId="0" borderId="0" xfId="47" applyFont="1">
      <alignment/>
      <protection/>
    </xf>
    <xf numFmtId="1" fontId="1" fillId="0" borderId="0" xfId="47" applyNumberFormat="1" applyFont="1">
      <alignment/>
      <protection/>
    </xf>
    <xf numFmtId="4" fontId="1" fillId="0" borderId="0" xfId="47" applyNumberFormat="1" applyFont="1">
      <alignment/>
      <protection/>
    </xf>
    <xf numFmtId="0" fontId="1" fillId="24" borderId="11" xfId="47" applyFont="1" applyFill="1" applyBorder="1">
      <alignment/>
      <protection/>
    </xf>
    <xf numFmtId="0" fontId="1" fillId="24" borderId="12" xfId="47" applyFont="1" applyFill="1" applyBorder="1">
      <alignment/>
      <protection/>
    </xf>
    <xf numFmtId="1" fontId="1" fillId="24" borderId="12" xfId="47" applyNumberFormat="1" applyFont="1" applyFill="1" applyBorder="1">
      <alignment/>
      <protection/>
    </xf>
    <xf numFmtId="0" fontId="1" fillId="24" borderId="12" xfId="47" applyFont="1" applyFill="1" applyBorder="1" applyAlignment="1">
      <alignment/>
      <protection/>
    </xf>
    <xf numFmtId="4" fontId="1" fillId="24" borderId="12" xfId="47" applyNumberFormat="1" applyFont="1" applyFill="1" applyBorder="1">
      <alignment/>
      <protection/>
    </xf>
    <xf numFmtId="4" fontId="1" fillId="24" borderId="13" xfId="47" applyNumberFormat="1" applyFont="1" applyFill="1" applyBorder="1">
      <alignment/>
      <protection/>
    </xf>
    <xf numFmtId="0" fontId="1" fillId="24" borderId="14" xfId="47" applyFont="1" applyFill="1" applyBorder="1">
      <alignment/>
      <protection/>
    </xf>
    <xf numFmtId="0" fontId="1" fillId="24" borderId="0" xfId="47" applyFont="1" applyFill="1" applyBorder="1">
      <alignment/>
      <protection/>
    </xf>
    <xf numFmtId="1" fontId="1" fillId="24" borderId="0" xfId="47" applyNumberFormat="1" applyFont="1" applyFill="1" applyBorder="1">
      <alignment/>
      <protection/>
    </xf>
    <xf numFmtId="49" fontId="1" fillId="24" borderId="0" xfId="47" applyNumberFormat="1" applyFont="1" applyFill="1" applyBorder="1" applyAlignment="1">
      <alignment horizontal="left" vertical="center" indent="1"/>
      <protection/>
    </xf>
    <xf numFmtId="4" fontId="1" fillId="24" borderId="15" xfId="47" applyNumberFormat="1" applyFont="1" applyFill="1" applyBorder="1">
      <alignment/>
      <protection/>
    </xf>
    <xf numFmtId="49" fontId="1" fillId="24" borderId="0" xfId="47" applyNumberFormat="1" applyFont="1" applyFill="1" applyBorder="1" applyAlignment="1">
      <alignment horizontal="left" vertical="top" wrapText="1" indent="1"/>
      <protection/>
    </xf>
    <xf numFmtId="49" fontId="1" fillId="24" borderId="10" xfId="47" applyNumberFormat="1" applyFont="1" applyFill="1" applyBorder="1" applyAlignment="1">
      <alignment horizontal="left" vertical="top" wrapText="1" indent="1"/>
      <protection/>
    </xf>
    <xf numFmtId="0" fontId="1" fillId="0" borderId="0" xfId="47" applyFont="1" applyFill="1">
      <alignment/>
      <protection/>
    </xf>
    <xf numFmtId="1" fontId="25" fillId="0" borderId="16" xfId="47" applyNumberFormat="1" applyFont="1" applyFill="1" applyBorder="1" applyAlignment="1">
      <alignment horizontal="center"/>
      <protection/>
    </xf>
    <xf numFmtId="4" fontId="25" fillId="0" borderId="16" xfId="47" applyNumberFormat="1" applyFont="1" applyFill="1" applyBorder="1" applyAlignment="1">
      <alignment horizontal="center"/>
      <protection/>
    </xf>
    <xf numFmtId="0" fontId="26" fillId="0" borderId="17" xfId="47" applyFont="1" applyBorder="1" applyAlignment="1">
      <alignment horizontal="center"/>
      <protection/>
    </xf>
    <xf numFmtId="0" fontId="1" fillId="0" borderId="18" xfId="47" applyFont="1" applyBorder="1">
      <alignment/>
      <protection/>
    </xf>
    <xf numFmtId="1" fontId="27" fillId="0" borderId="18" xfId="47" applyNumberFormat="1" applyFont="1" applyBorder="1">
      <alignment/>
      <protection/>
    </xf>
    <xf numFmtId="1" fontId="1" fillId="0" borderId="18" xfId="47" applyNumberFormat="1" applyFont="1" applyBorder="1">
      <alignment/>
      <protection/>
    </xf>
    <xf numFmtId="1" fontId="1" fillId="0" borderId="18" xfId="47" applyNumberFormat="1" applyFont="1" applyBorder="1" applyAlignment="1">
      <alignment horizontal="center"/>
      <protection/>
    </xf>
    <xf numFmtId="4" fontId="1" fillId="0" borderId="18" xfId="47" applyNumberFormat="1" applyFont="1" applyBorder="1">
      <alignment/>
      <protection/>
    </xf>
    <xf numFmtId="4" fontId="1" fillId="0" borderId="19" xfId="47" applyNumberFormat="1" applyFont="1" applyBorder="1">
      <alignment/>
      <protection/>
    </xf>
    <xf numFmtId="0" fontId="1" fillId="0" borderId="20" xfId="47" applyFont="1" applyBorder="1" applyAlignment="1">
      <alignment horizontal="center"/>
      <protection/>
    </xf>
    <xf numFmtId="0" fontId="1" fillId="0" borderId="21" xfId="47" applyFont="1" applyBorder="1">
      <alignment/>
      <protection/>
    </xf>
    <xf numFmtId="1" fontId="1" fillId="0" borderId="21" xfId="47" applyNumberFormat="1" applyFont="1" applyFill="1" applyBorder="1">
      <alignment/>
      <protection/>
    </xf>
    <xf numFmtId="1" fontId="1" fillId="0" borderId="21" xfId="47" applyNumberFormat="1" applyFont="1" applyFill="1" applyBorder="1" applyAlignment="1">
      <alignment horizontal="center"/>
      <protection/>
    </xf>
    <xf numFmtId="4" fontId="1" fillId="0" borderId="21" xfId="47" applyNumberFormat="1" applyFont="1" applyFill="1" applyBorder="1">
      <alignment/>
      <protection/>
    </xf>
    <xf numFmtId="4" fontId="1" fillId="0" borderId="22" xfId="47" applyNumberFormat="1" applyFont="1" applyFill="1" applyBorder="1">
      <alignment/>
      <protection/>
    </xf>
    <xf numFmtId="4" fontId="1" fillId="0" borderId="23" xfId="47" applyNumberFormat="1" applyFont="1" applyFill="1" applyBorder="1">
      <alignment/>
      <protection/>
    </xf>
    <xf numFmtId="0" fontId="1" fillId="0" borderId="24" xfId="47" applyFont="1" applyBorder="1" applyAlignment="1">
      <alignment horizontal="center"/>
      <protection/>
    </xf>
    <xf numFmtId="0" fontId="1" fillId="0" borderId="22" xfId="47" applyFont="1" applyBorder="1">
      <alignment/>
      <protection/>
    </xf>
    <xf numFmtId="49" fontId="0" fillId="0" borderId="22" xfId="47" applyNumberFormat="1" applyFont="1" applyFill="1" applyBorder="1">
      <alignment/>
      <protection/>
    </xf>
    <xf numFmtId="1" fontId="1" fillId="0" borderId="22" xfId="47" applyNumberFormat="1" applyFont="1" applyFill="1" applyBorder="1">
      <alignment/>
      <protection/>
    </xf>
    <xf numFmtId="1" fontId="1" fillId="0" borderId="22" xfId="47" applyNumberFormat="1" applyFont="1" applyFill="1" applyBorder="1" applyAlignment="1">
      <alignment horizontal="center"/>
      <protection/>
    </xf>
    <xf numFmtId="0" fontId="1" fillId="0" borderId="25" xfId="47" applyFont="1" applyBorder="1" applyAlignment="1">
      <alignment horizontal="center"/>
      <protection/>
    </xf>
    <xf numFmtId="49" fontId="0" fillId="0" borderId="0" xfId="47" applyNumberFormat="1" applyFont="1" applyFill="1">
      <alignment/>
      <protection/>
    </xf>
    <xf numFmtId="1" fontId="1" fillId="0" borderId="22" xfId="47" applyNumberFormat="1" applyFont="1" applyBorder="1">
      <alignment/>
      <protection/>
    </xf>
    <xf numFmtId="1" fontId="1" fillId="0" borderId="22" xfId="47" applyNumberFormat="1" applyFont="1" applyBorder="1" applyAlignment="1">
      <alignment horizontal="center"/>
      <protection/>
    </xf>
    <xf numFmtId="4" fontId="1" fillId="0" borderId="22" xfId="47" applyNumberFormat="1" applyFont="1" applyBorder="1">
      <alignment/>
      <protection/>
    </xf>
    <xf numFmtId="4" fontId="1" fillId="0" borderId="23" xfId="47" applyNumberFormat="1" applyFont="1" applyBorder="1">
      <alignment/>
      <protection/>
    </xf>
    <xf numFmtId="0" fontId="1" fillId="0" borderId="26" xfId="47" applyFont="1" applyBorder="1" applyAlignment="1">
      <alignment horizontal="center"/>
      <protection/>
    </xf>
    <xf numFmtId="0" fontId="1" fillId="0" borderId="27" xfId="47" applyFont="1" applyBorder="1" applyAlignment="1">
      <alignment horizontal="center"/>
      <protection/>
    </xf>
    <xf numFmtId="1" fontId="1" fillId="0" borderId="21" xfId="47" applyNumberFormat="1" applyFont="1" applyBorder="1">
      <alignment/>
      <protection/>
    </xf>
    <xf numFmtId="1" fontId="1" fillId="0" borderId="21" xfId="47" applyNumberFormat="1" applyFont="1" applyBorder="1" applyAlignment="1">
      <alignment horizontal="center"/>
      <protection/>
    </xf>
    <xf numFmtId="4" fontId="1" fillId="0" borderId="21" xfId="47" applyNumberFormat="1" applyFont="1" applyBorder="1">
      <alignment/>
      <protection/>
    </xf>
    <xf numFmtId="0" fontId="1" fillId="0" borderId="28" xfId="47" applyFont="1" applyBorder="1">
      <alignment/>
      <protection/>
    </xf>
    <xf numFmtId="0" fontId="1" fillId="0" borderId="28" xfId="47" applyFont="1" applyFill="1" applyBorder="1">
      <alignment/>
      <protection/>
    </xf>
    <xf numFmtId="1" fontId="1" fillId="0" borderId="28" xfId="47" applyNumberFormat="1" applyFont="1" applyFill="1" applyBorder="1" applyAlignment="1">
      <alignment horizontal="left"/>
      <protection/>
    </xf>
    <xf numFmtId="1" fontId="1" fillId="0" borderId="28" xfId="47" applyNumberFormat="1" applyFont="1" applyFill="1" applyBorder="1" applyAlignment="1">
      <alignment horizontal="center"/>
      <protection/>
    </xf>
    <xf numFmtId="4" fontId="1" fillId="0" borderId="28" xfId="47" applyNumberFormat="1" applyFont="1" applyBorder="1">
      <alignment/>
      <protection/>
    </xf>
    <xf numFmtId="0" fontId="27" fillId="0" borderId="18" xfId="47" applyFont="1" applyBorder="1">
      <alignment/>
      <protection/>
    </xf>
    <xf numFmtId="4" fontId="1" fillId="0" borderId="29" xfId="47" applyNumberFormat="1" applyFont="1" applyBorder="1">
      <alignment/>
      <protection/>
    </xf>
    <xf numFmtId="4" fontId="1" fillId="0" borderId="30" xfId="47" applyNumberFormat="1" applyFont="1" applyBorder="1">
      <alignment/>
      <protection/>
    </xf>
    <xf numFmtId="1" fontId="1" fillId="0" borderId="28" xfId="47" applyNumberFormat="1" applyFont="1" applyBorder="1">
      <alignment/>
      <protection/>
    </xf>
    <xf numFmtId="1" fontId="1" fillId="0" borderId="28" xfId="47" applyNumberFormat="1" applyFont="1" applyBorder="1" applyAlignment="1">
      <alignment horizontal="center"/>
      <protection/>
    </xf>
    <xf numFmtId="4" fontId="1" fillId="0" borderId="10" xfId="47" applyNumberFormat="1" applyFont="1" applyBorder="1">
      <alignment/>
      <protection/>
    </xf>
    <xf numFmtId="4" fontId="1" fillId="0" borderId="31" xfId="47" applyNumberFormat="1" applyFont="1" applyBorder="1">
      <alignment/>
      <protection/>
    </xf>
    <xf numFmtId="4" fontId="1" fillId="0" borderId="32" xfId="47" applyNumberFormat="1" applyFont="1" applyBorder="1">
      <alignment/>
      <protection/>
    </xf>
    <xf numFmtId="4" fontId="1" fillId="0" borderId="33" xfId="47" applyNumberFormat="1" applyFont="1" applyBorder="1">
      <alignment/>
      <protection/>
    </xf>
    <xf numFmtId="0" fontId="1" fillId="0" borderId="34" xfId="47" applyFont="1" applyBorder="1">
      <alignment/>
      <protection/>
    </xf>
    <xf numFmtId="0" fontId="27" fillId="0" borderId="0" xfId="47" applyFont="1" applyFill="1">
      <alignment/>
      <protection/>
    </xf>
    <xf numFmtId="1" fontId="1" fillId="0" borderId="10" xfId="47" applyNumberFormat="1" applyFont="1" applyBorder="1">
      <alignment/>
      <protection/>
    </xf>
    <xf numFmtId="1" fontId="1" fillId="0" borderId="10" xfId="47" applyNumberFormat="1" applyFont="1" applyBorder="1" applyAlignment="1">
      <alignment horizontal="center"/>
      <protection/>
    </xf>
    <xf numFmtId="4" fontId="1" fillId="0" borderId="34" xfId="47" applyNumberFormat="1" applyFont="1" applyBorder="1">
      <alignment/>
      <protection/>
    </xf>
    <xf numFmtId="0" fontId="1" fillId="0" borderId="35" xfId="47" applyFont="1" applyBorder="1">
      <alignment/>
      <protection/>
    </xf>
    <xf numFmtId="1" fontId="1" fillId="0" borderId="21" xfId="47" applyNumberFormat="1" applyFont="1" applyBorder="1" applyAlignment="1">
      <alignment horizontal="left"/>
      <protection/>
    </xf>
    <xf numFmtId="1" fontId="1" fillId="0" borderId="35" xfId="47" applyNumberFormat="1" applyFont="1" applyBorder="1">
      <alignment/>
      <protection/>
    </xf>
    <xf numFmtId="4" fontId="1" fillId="0" borderId="35" xfId="47" applyNumberFormat="1" applyFont="1" applyBorder="1">
      <alignment/>
      <protection/>
    </xf>
    <xf numFmtId="4" fontId="1" fillId="0" borderId="36" xfId="47" applyNumberFormat="1" applyFont="1" applyBorder="1">
      <alignment/>
      <protection/>
    </xf>
    <xf numFmtId="0" fontId="1" fillId="0" borderId="37" xfId="47" applyFont="1" applyBorder="1">
      <alignment/>
      <protection/>
    </xf>
    <xf numFmtId="1" fontId="1" fillId="0" borderId="22" xfId="47" applyNumberFormat="1" applyFont="1" applyBorder="1" applyAlignment="1">
      <alignment horizontal="left"/>
      <protection/>
    </xf>
    <xf numFmtId="0" fontId="26" fillId="0" borderId="38" xfId="47" applyFont="1" applyBorder="1" applyAlignment="1">
      <alignment horizontal="center"/>
      <protection/>
    </xf>
    <xf numFmtId="0" fontId="1" fillId="0" borderId="22" xfId="47" applyFont="1" applyFill="1" applyBorder="1">
      <alignment/>
      <protection/>
    </xf>
    <xf numFmtId="1" fontId="1" fillId="0" borderId="22" xfId="47" applyNumberFormat="1" applyFont="1" applyFill="1" applyBorder="1" applyAlignment="1">
      <alignment horizontal="left"/>
      <protection/>
    </xf>
    <xf numFmtId="0" fontId="26" fillId="0" borderId="39" xfId="47" applyFont="1" applyBorder="1" applyAlignment="1">
      <alignment horizontal="center"/>
      <protection/>
    </xf>
    <xf numFmtId="0" fontId="1" fillId="0" borderId="32" xfId="47" applyFont="1" applyBorder="1">
      <alignment/>
      <protection/>
    </xf>
    <xf numFmtId="0" fontId="26" fillId="0" borderId="24" xfId="47" applyFont="1" applyBorder="1" applyAlignment="1">
      <alignment horizontal="center"/>
      <protection/>
    </xf>
    <xf numFmtId="49" fontId="1" fillId="0" borderId="22" xfId="47" applyNumberFormat="1" applyFont="1" applyFill="1" applyBorder="1" applyAlignment="1">
      <alignment vertical="center" wrapText="1"/>
      <protection/>
    </xf>
    <xf numFmtId="0" fontId="1" fillId="0" borderId="22" xfId="47" applyFont="1" applyFill="1" applyBorder="1" applyAlignment="1">
      <alignment horizontal="center" vertical="center"/>
      <protection/>
    </xf>
    <xf numFmtId="1" fontId="1" fillId="0" borderId="37" xfId="47" applyNumberFormat="1" applyFont="1" applyBorder="1">
      <alignment/>
      <protection/>
    </xf>
    <xf numFmtId="49" fontId="1" fillId="0" borderId="22" xfId="47" applyNumberFormat="1" applyFont="1" applyBorder="1" applyAlignment="1">
      <alignment vertical="center" wrapText="1"/>
      <protection/>
    </xf>
    <xf numFmtId="1" fontId="1" fillId="0" borderId="37" xfId="47" applyNumberFormat="1" applyFont="1" applyBorder="1" applyAlignment="1">
      <alignment horizontal="center"/>
      <protection/>
    </xf>
    <xf numFmtId="49" fontId="1" fillId="0" borderId="28" xfId="47" applyNumberFormat="1" applyFont="1" applyFill="1" applyBorder="1" applyAlignment="1">
      <alignment vertical="center" wrapText="1"/>
      <protection/>
    </xf>
    <xf numFmtId="0" fontId="1" fillId="0" borderId="28" xfId="47" applyFont="1" applyFill="1" applyBorder="1" applyAlignment="1">
      <alignment horizontal="center" vertical="center"/>
      <protection/>
    </xf>
    <xf numFmtId="4" fontId="1" fillId="0" borderId="40" xfId="47" applyNumberFormat="1" applyFont="1" applyBorder="1">
      <alignment/>
      <protection/>
    </xf>
    <xf numFmtId="0" fontId="26" fillId="0" borderId="26" xfId="47" applyFont="1" applyBorder="1" applyAlignment="1">
      <alignment horizontal="center"/>
      <protection/>
    </xf>
    <xf numFmtId="0" fontId="28" fillId="0" borderId="41" xfId="47" applyFont="1" applyFill="1" applyBorder="1" applyAlignment="1">
      <alignment vertical="center" wrapText="1"/>
      <protection/>
    </xf>
    <xf numFmtId="4" fontId="1" fillId="0" borderId="10" xfId="47" applyNumberFormat="1" applyFont="1" applyFill="1" applyBorder="1" applyAlignment="1">
      <alignment wrapText="1"/>
      <protection/>
    </xf>
    <xf numFmtId="0" fontId="1" fillId="0" borderId="10" xfId="47" applyFont="1" applyFill="1" applyBorder="1" applyAlignment="1">
      <alignment horizontal="center"/>
      <protection/>
    </xf>
    <xf numFmtId="166" fontId="1" fillId="0" borderId="10" xfId="47" applyNumberFormat="1" applyFont="1" applyFill="1" applyBorder="1" applyAlignment="1">
      <alignment horizontal="right"/>
      <protection/>
    </xf>
    <xf numFmtId="4" fontId="1" fillId="0" borderId="42" xfId="47" applyNumberFormat="1" applyFont="1" applyBorder="1">
      <alignment/>
      <protection/>
    </xf>
    <xf numFmtId="0" fontId="1" fillId="0" borderId="32" xfId="47" applyFont="1" applyFill="1" applyBorder="1">
      <alignment/>
      <protection/>
    </xf>
    <xf numFmtId="4" fontId="1" fillId="0" borderId="32" xfId="47" applyNumberFormat="1" applyFont="1" applyFill="1" applyBorder="1" applyAlignment="1">
      <alignment wrapText="1"/>
      <protection/>
    </xf>
    <xf numFmtId="0" fontId="1" fillId="0" borderId="32" xfId="47" applyFont="1" applyFill="1" applyBorder="1" applyAlignment="1">
      <alignment horizontal="center"/>
      <protection/>
    </xf>
    <xf numFmtId="1" fontId="1" fillId="0" borderId="22" xfId="47" applyNumberFormat="1" applyFont="1" applyBorder="1" applyAlignment="1">
      <alignment horizontal="right"/>
      <protection/>
    </xf>
    <xf numFmtId="0" fontId="29" fillId="0" borderId="22" xfId="47" applyFont="1" applyFill="1" applyBorder="1" applyAlignment="1">
      <alignment vertical="center" wrapText="1"/>
      <protection/>
    </xf>
    <xf numFmtId="4" fontId="1" fillId="0" borderId="22" xfId="47" applyNumberFormat="1" applyFont="1" applyFill="1" applyBorder="1" applyAlignment="1">
      <alignment wrapText="1"/>
      <protection/>
    </xf>
    <xf numFmtId="0" fontId="1" fillId="0" borderId="22" xfId="47" applyFont="1" applyFill="1" applyBorder="1" applyAlignment="1">
      <alignment horizontal="center"/>
      <protection/>
    </xf>
    <xf numFmtId="0" fontId="0" fillId="0" borderId="22" xfId="47" applyFont="1" applyFill="1" applyBorder="1" applyAlignment="1">
      <alignment vertical="center" wrapText="1"/>
      <protection/>
    </xf>
    <xf numFmtId="0" fontId="26" fillId="0" borderId="43" xfId="47" applyFont="1" applyBorder="1" applyAlignment="1">
      <alignment horizontal="center"/>
      <protection/>
    </xf>
    <xf numFmtId="0" fontId="0" fillId="0" borderId="28" xfId="47" applyFont="1" applyFill="1" applyBorder="1" applyAlignment="1">
      <alignment vertical="center" wrapText="1"/>
      <protection/>
    </xf>
    <xf numFmtId="4" fontId="1" fillId="0" borderId="28" xfId="47" applyNumberFormat="1" applyFont="1" applyFill="1" applyBorder="1" applyAlignment="1">
      <alignment wrapText="1"/>
      <protection/>
    </xf>
    <xf numFmtId="0" fontId="1" fillId="0" borderId="28" xfId="47" applyFont="1" applyFill="1" applyBorder="1" applyAlignment="1">
      <alignment horizontal="center"/>
      <protection/>
    </xf>
    <xf numFmtId="1" fontId="1" fillId="0" borderId="28" xfId="47" applyNumberFormat="1" applyFont="1" applyBorder="1" applyAlignment="1">
      <alignment horizontal="right"/>
      <protection/>
    </xf>
    <xf numFmtId="0" fontId="26" fillId="0" borderId="12" xfId="47" applyFont="1" applyBorder="1" applyAlignment="1">
      <alignment horizontal="center"/>
      <protection/>
    </xf>
    <xf numFmtId="0" fontId="1" fillId="0" borderId="12" xfId="47" applyFont="1" applyBorder="1">
      <alignment/>
      <protection/>
    </xf>
    <xf numFmtId="0" fontId="1" fillId="0" borderId="0" xfId="47" applyFont="1" applyBorder="1">
      <alignment/>
      <protection/>
    </xf>
    <xf numFmtId="1" fontId="1" fillId="0" borderId="0" xfId="47" applyNumberFormat="1" applyFont="1" applyBorder="1">
      <alignment/>
      <protection/>
    </xf>
    <xf numFmtId="1" fontId="1" fillId="0" borderId="0" xfId="47" applyNumberFormat="1" applyFont="1" applyBorder="1" applyAlignment="1">
      <alignment horizontal="center"/>
      <protection/>
    </xf>
    <xf numFmtId="4" fontId="1" fillId="0" borderId="0" xfId="47" applyNumberFormat="1" applyFont="1" applyBorder="1" applyAlignment="1">
      <alignment horizontal="center"/>
      <protection/>
    </xf>
    <xf numFmtId="4" fontId="24" fillId="0" borderId="0" xfId="47" applyNumberFormat="1" applyFont="1" applyBorder="1">
      <alignment/>
      <protection/>
    </xf>
    <xf numFmtId="4" fontId="1" fillId="0" borderId="0" xfId="47" applyNumberFormat="1" applyFont="1" applyBorder="1">
      <alignment/>
      <protection/>
    </xf>
    <xf numFmtId="0" fontId="26" fillId="0" borderId="0" xfId="47" applyFont="1" applyBorder="1" applyAlignment="1">
      <alignment horizontal="center"/>
      <protection/>
    </xf>
    <xf numFmtId="0" fontId="30" fillId="0" borderId="0" xfId="47" applyFont="1">
      <alignment/>
      <protection/>
    </xf>
    <xf numFmtId="166" fontId="0" fillId="0" borderId="0" xfId="0" applyNumberFormat="1" applyAlignment="1">
      <alignment horizontal="center"/>
    </xf>
    <xf numFmtId="0" fontId="12" fillId="0" borderId="0" xfId="46" applyAlignment="1">
      <alignment horizontal="left" vertical="top"/>
      <protection locked="0"/>
    </xf>
    <xf numFmtId="0" fontId="12" fillId="0" borderId="0" xfId="46" applyFont="1" applyFill="1" applyBorder="1" applyAlignment="1" applyProtection="1">
      <alignment horizontal="left" vertical="top"/>
      <protection locked="0"/>
    </xf>
    <xf numFmtId="0" fontId="1" fillId="0" borderId="44" xfId="46" applyFont="1" applyBorder="1" applyAlignment="1" applyProtection="1">
      <alignment horizontal="left"/>
      <protection/>
    </xf>
    <xf numFmtId="0" fontId="1" fillId="0" borderId="45" xfId="46" applyFont="1" applyBorder="1" applyAlignment="1" applyProtection="1">
      <alignment horizontal="left"/>
      <protection/>
    </xf>
    <xf numFmtId="0" fontId="1" fillId="0" borderId="46" xfId="46" applyFont="1" applyBorder="1" applyAlignment="1" applyProtection="1">
      <alignment horizontal="left"/>
      <protection/>
    </xf>
    <xf numFmtId="0" fontId="1" fillId="0" borderId="47" xfId="46" applyFont="1" applyBorder="1" applyAlignment="1" applyProtection="1">
      <alignment horizontal="left"/>
      <protection/>
    </xf>
    <xf numFmtId="0" fontId="1" fillId="0" borderId="0" xfId="46" applyFont="1" applyAlignment="1" applyProtection="1">
      <alignment horizontal="left"/>
      <protection/>
    </xf>
    <xf numFmtId="0" fontId="31" fillId="0" borderId="0" xfId="46" applyFont="1" applyAlignment="1" applyProtection="1">
      <alignment horizontal="left"/>
      <protection/>
    </xf>
    <xf numFmtId="0" fontId="1" fillId="0" borderId="48" xfId="46" applyFont="1" applyBorder="1" applyAlignment="1" applyProtection="1">
      <alignment horizontal="left"/>
      <protection/>
    </xf>
    <xf numFmtId="0" fontId="1" fillId="0" borderId="49" xfId="46" applyFont="1" applyBorder="1" applyAlignment="1" applyProtection="1">
      <alignment horizontal="left"/>
      <protection/>
    </xf>
    <xf numFmtId="0" fontId="1" fillId="0" borderId="50" xfId="46" applyFont="1" applyBorder="1" applyAlignment="1" applyProtection="1">
      <alignment horizontal="left"/>
      <protection/>
    </xf>
    <xf numFmtId="0" fontId="1" fillId="0" borderId="51" xfId="46" applyFont="1" applyBorder="1" applyAlignment="1" applyProtection="1">
      <alignment horizontal="left"/>
      <protection/>
    </xf>
    <xf numFmtId="0" fontId="32" fillId="0" borderId="44" xfId="46" applyFont="1" applyBorder="1" applyAlignment="1" applyProtection="1">
      <alignment horizontal="left" vertical="center"/>
      <protection/>
    </xf>
    <xf numFmtId="0" fontId="32" fillId="0" borderId="45" xfId="46" applyFont="1" applyBorder="1" applyAlignment="1" applyProtection="1">
      <alignment horizontal="left" vertical="center"/>
      <protection/>
    </xf>
    <xf numFmtId="0" fontId="32" fillId="0" borderId="46" xfId="46" applyFont="1" applyBorder="1" applyAlignment="1" applyProtection="1">
      <alignment horizontal="left" vertical="center"/>
      <protection/>
    </xf>
    <xf numFmtId="0" fontId="32" fillId="0" borderId="47" xfId="46" applyFont="1" applyBorder="1" applyAlignment="1" applyProtection="1">
      <alignment horizontal="left" vertical="center"/>
      <protection/>
    </xf>
    <xf numFmtId="0" fontId="32" fillId="0" borderId="0" xfId="46" applyFont="1" applyAlignment="1" applyProtection="1">
      <alignment horizontal="left" vertical="center"/>
      <protection/>
    </xf>
    <xf numFmtId="0" fontId="33" fillId="0" borderId="44" xfId="46" applyFont="1" applyBorder="1" applyAlignment="1" applyProtection="1">
      <alignment horizontal="left" vertical="center"/>
      <protection/>
    </xf>
    <xf numFmtId="0" fontId="34" fillId="0" borderId="44" xfId="46" applyFont="1" applyBorder="1" applyAlignment="1" applyProtection="1">
      <alignment horizontal="left" vertical="center"/>
      <protection/>
    </xf>
    <xf numFmtId="0" fontId="32" fillId="0" borderId="48" xfId="46" applyFont="1" applyBorder="1" applyAlignment="1" applyProtection="1">
      <alignment horizontal="left" vertical="center"/>
      <protection/>
    </xf>
    <xf numFmtId="0" fontId="33" fillId="0" borderId="47" xfId="46" applyFont="1" applyBorder="1" applyAlignment="1" applyProtection="1">
      <alignment horizontal="left" vertical="center"/>
      <protection/>
    </xf>
    <xf numFmtId="0" fontId="32" fillId="0" borderId="0" xfId="46" applyFont="1" applyBorder="1" applyAlignment="1" applyProtection="1">
      <alignment horizontal="left" vertical="center"/>
      <protection/>
    </xf>
    <xf numFmtId="0" fontId="34" fillId="0" borderId="47" xfId="46" applyFont="1" applyBorder="1" applyAlignment="1" applyProtection="1">
      <alignment horizontal="left" vertical="center"/>
      <protection/>
    </xf>
    <xf numFmtId="0" fontId="33" fillId="0" borderId="49" xfId="46" applyFont="1" applyBorder="1" applyAlignment="1" applyProtection="1">
      <alignment horizontal="left" vertical="center"/>
      <protection/>
    </xf>
    <xf numFmtId="0" fontId="32" fillId="0" borderId="50" xfId="46" applyFont="1" applyBorder="1" applyAlignment="1" applyProtection="1">
      <alignment horizontal="left" vertical="center"/>
      <protection/>
    </xf>
    <xf numFmtId="0" fontId="32" fillId="0" borderId="51" xfId="46" applyFont="1" applyBorder="1" applyAlignment="1" applyProtection="1">
      <alignment horizontal="left" vertical="center"/>
      <protection/>
    </xf>
    <xf numFmtId="0" fontId="34" fillId="0" borderId="49" xfId="46" applyFont="1" applyBorder="1" applyAlignment="1" applyProtection="1">
      <alignment horizontal="left" vertical="center"/>
      <protection/>
    </xf>
    <xf numFmtId="0" fontId="34" fillId="0" borderId="22" xfId="46" applyFont="1" applyBorder="1" applyAlignment="1" applyProtection="1">
      <alignment horizontal="left" vertical="center"/>
      <protection/>
    </xf>
    <xf numFmtId="0" fontId="32" fillId="0" borderId="22" xfId="46" applyFont="1" applyBorder="1" applyAlignment="1" applyProtection="1">
      <alignment horizontal="left" vertical="center"/>
      <protection/>
    </xf>
    <xf numFmtId="0" fontId="34" fillId="0" borderId="0" xfId="46" applyFont="1" applyAlignment="1" applyProtection="1">
      <alignment horizontal="left" vertical="center"/>
      <protection/>
    </xf>
    <xf numFmtId="0" fontId="35" fillId="0" borderId="0" xfId="46" applyFont="1" applyAlignment="1" applyProtection="1">
      <alignment horizontal="left" vertical="center"/>
      <protection/>
    </xf>
    <xf numFmtId="49" fontId="34" fillId="0" borderId="22" xfId="46" applyNumberFormat="1" applyFont="1" applyBorder="1" applyAlignment="1" applyProtection="1">
      <alignment horizontal="center" vertical="center"/>
      <protection/>
    </xf>
    <xf numFmtId="0" fontId="34" fillId="0" borderId="52" xfId="46" applyFont="1" applyBorder="1" applyAlignment="1" applyProtection="1">
      <alignment horizontal="left" vertical="center"/>
      <protection/>
    </xf>
    <xf numFmtId="0" fontId="32" fillId="0" borderId="53" xfId="46" applyFont="1" applyBorder="1" applyAlignment="1" applyProtection="1">
      <alignment horizontal="left" vertical="center"/>
      <protection/>
    </xf>
    <xf numFmtId="0" fontId="34" fillId="0" borderId="54" xfId="46" applyFont="1" applyBorder="1" applyAlignment="1" applyProtection="1">
      <alignment horizontal="left" vertical="center"/>
      <protection/>
    </xf>
    <xf numFmtId="0" fontId="36" fillId="0" borderId="0" xfId="46" applyFont="1" applyAlignment="1" applyProtection="1">
      <alignment horizontal="left" vertical="center"/>
      <protection/>
    </xf>
    <xf numFmtId="0" fontId="32" fillId="0" borderId="49" xfId="46" applyFont="1" applyBorder="1" applyAlignment="1" applyProtection="1">
      <alignment horizontal="left" vertical="center"/>
      <protection/>
    </xf>
    <xf numFmtId="0" fontId="32" fillId="0" borderId="52" xfId="46" applyFont="1" applyBorder="1" applyAlignment="1" applyProtection="1">
      <alignment horizontal="left" vertical="center"/>
      <protection/>
    </xf>
    <xf numFmtId="0" fontId="24" fillId="0" borderId="53" xfId="46" applyFont="1" applyBorder="1" applyAlignment="1" applyProtection="1">
      <alignment horizontal="left" vertical="center"/>
      <protection/>
    </xf>
    <xf numFmtId="0" fontId="32" fillId="0" borderId="54" xfId="46" applyFont="1" applyBorder="1" applyAlignment="1" applyProtection="1">
      <alignment horizontal="left" vertical="center"/>
      <protection/>
    </xf>
    <xf numFmtId="0" fontId="32" fillId="0" borderId="55" xfId="46" applyFont="1" applyBorder="1" applyAlignment="1" applyProtection="1">
      <alignment horizontal="left" vertical="center"/>
      <protection/>
    </xf>
    <xf numFmtId="0" fontId="32" fillId="0" borderId="56" xfId="46" applyFont="1" applyBorder="1" applyAlignment="1" applyProtection="1">
      <alignment horizontal="left" vertical="center"/>
      <protection/>
    </xf>
    <xf numFmtId="0" fontId="32" fillId="0" borderId="57" xfId="46" applyFont="1" applyBorder="1" applyAlignment="1" applyProtection="1">
      <alignment horizontal="left" vertical="center"/>
      <protection/>
    </xf>
    <xf numFmtId="0" fontId="32" fillId="0" borderId="58" xfId="46" applyFont="1" applyBorder="1" applyAlignment="1" applyProtection="1">
      <alignment horizontal="left" vertical="center"/>
      <protection/>
    </xf>
    <xf numFmtId="0" fontId="32" fillId="0" borderId="59" xfId="46" applyFont="1" applyBorder="1" applyAlignment="1" applyProtection="1">
      <alignment horizontal="left" vertical="center"/>
      <protection/>
    </xf>
    <xf numFmtId="167" fontId="1" fillId="0" borderId="60" xfId="46" applyNumberFormat="1" applyFont="1" applyBorder="1" applyAlignment="1" applyProtection="1">
      <alignment horizontal="right" vertical="center"/>
      <protection/>
    </xf>
    <xf numFmtId="167" fontId="1" fillId="0" borderId="61" xfId="46" applyNumberFormat="1" applyFont="1" applyBorder="1" applyAlignment="1" applyProtection="1">
      <alignment horizontal="right" vertical="center"/>
      <protection/>
    </xf>
    <xf numFmtId="168" fontId="0" fillId="0" borderId="62" xfId="46" applyNumberFormat="1" applyFont="1" applyBorder="1" applyAlignment="1" applyProtection="1">
      <alignment horizontal="right" vertical="center"/>
      <protection/>
    </xf>
    <xf numFmtId="168" fontId="0" fillId="0" borderId="63" xfId="46" applyNumberFormat="1" applyFont="1" applyBorder="1" applyAlignment="1" applyProtection="1">
      <alignment horizontal="right" vertical="center"/>
      <protection/>
    </xf>
    <xf numFmtId="167" fontId="1" fillId="0" borderId="62" xfId="46" applyNumberFormat="1" applyFont="1" applyBorder="1" applyAlignment="1" applyProtection="1">
      <alignment horizontal="right" vertical="center"/>
      <protection/>
    </xf>
    <xf numFmtId="167" fontId="1" fillId="0" borderId="63" xfId="46" applyNumberFormat="1" applyFont="1" applyBorder="1" applyAlignment="1" applyProtection="1">
      <alignment horizontal="right" vertical="center"/>
      <protection/>
    </xf>
    <xf numFmtId="167" fontId="0" fillId="0" borderId="61" xfId="46" applyNumberFormat="1" applyFont="1" applyBorder="1" applyAlignment="1" applyProtection="1">
      <alignment horizontal="right" vertical="center"/>
      <protection/>
    </xf>
    <xf numFmtId="168" fontId="0" fillId="0" borderId="61" xfId="46" applyNumberFormat="1" applyFont="1" applyBorder="1" applyAlignment="1" applyProtection="1">
      <alignment horizontal="right" vertical="center"/>
      <protection/>
    </xf>
    <xf numFmtId="167" fontId="1" fillId="0" borderId="64" xfId="46" applyNumberFormat="1" applyFont="1" applyBorder="1" applyAlignment="1" applyProtection="1">
      <alignment horizontal="right" vertical="center"/>
      <protection/>
    </xf>
    <xf numFmtId="0" fontId="24" fillId="0" borderId="53" xfId="46" applyFont="1" applyBorder="1" applyAlignment="1" applyProtection="1">
      <alignment horizontal="left" vertical="center" wrapText="1"/>
      <protection/>
    </xf>
    <xf numFmtId="0" fontId="37" fillId="0" borderId="55" xfId="46" applyFont="1" applyBorder="1" applyAlignment="1" applyProtection="1">
      <alignment horizontal="left" vertical="center"/>
      <protection/>
    </xf>
    <xf numFmtId="0" fontId="37" fillId="0" borderId="57" xfId="46" applyFont="1" applyBorder="1" applyAlignment="1" applyProtection="1">
      <alignment horizontal="left" vertical="center"/>
      <protection/>
    </xf>
    <xf numFmtId="0" fontId="24" fillId="0" borderId="58" xfId="46" applyFont="1" applyBorder="1" applyAlignment="1" applyProtection="1">
      <alignment horizontal="left" vertical="center"/>
      <protection/>
    </xf>
    <xf numFmtId="0" fontId="24" fillId="0" borderId="56" xfId="46" applyFont="1" applyBorder="1" applyAlignment="1" applyProtection="1">
      <alignment horizontal="left" vertical="center"/>
      <protection/>
    </xf>
    <xf numFmtId="0" fontId="24" fillId="0" borderId="59" xfId="46" applyFont="1" applyBorder="1" applyAlignment="1" applyProtection="1">
      <alignment horizontal="left" vertical="center"/>
      <protection/>
    </xf>
    <xf numFmtId="0" fontId="24" fillId="0" borderId="57" xfId="46" applyFont="1" applyBorder="1" applyAlignment="1" applyProtection="1">
      <alignment horizontal="left" vertical="center"/>
      <protection/>
    </xf>
    <xf numFmtId="0" fontId="32" fillId="0" borderId="65" xfId="46" applyFont="1" applyBorder="1" applyAlignment="1" applyProtection="1">
      <alignment horizontal="center" vertical="center"/>
      <protection/>
    </xf>
    <xf numFmtId="0" fontId="25" fillId="0" borderId="66" xfId="46" applyFont="1" applyBorder="1" applyAlignment="1" applyProtection="1">
      <alignment horizontal="left" vertical="center"/>
      <protection/>
    </xf>
    <xf numFmtId="0" fontId="32" fillId="0" borderId="67" xfId="46" applyFont="1" applyBorder="1" applyAlignment="1" applyProtection="1">
      <alignment horizontal="left" vertical="center"/>
      <protection/>
    </xf>
    <xf numFmtId="0" fontId="32" fillId="0" borderId="68" xfId="46" applyFont="1" applyBorder="1" applyAlignment="1" applyProtection="1">
      <alignment horizontal="left" vertical="center"/>
      <protection/>
    </xf>
    <xf numFmtId="168" fontId="0" fillId="0" borderId="69" xfId="46" applyNumberFormat="1" applyFont="1" applyBorder="1" applyAlignment="1" applyProtection="1">
      <alignment horizontal="right" vertical="center"/>
      <protection/>
    </xf>
    <xf numFmtId="0" fontId="32" fillId="0" borderId="70" xfId="46" applyFont="1" applyBorder="1" applyAlignment="1" applyProtection="1">
      <alignment horizontal="left" vertical="center"/>
      <protection/>
    </xf>
    <xf numFmtId="0" fontId="32" fillId="0" borderId="69" xfId="46" applyFont="1" applyBorder="1" applyAlignment="1" applyProtection="1">
      <alignment horizontal="left" vertical="center"/>
      <protection/>
    </xf>
    <xf numFmtId="0" fontId="32" fillId="0" borderId="71" xfId="46" applyFont="1" applyBorder="1" applyAlignment="1" applyProtection="1">
      <alignment horizontal="left" vertical="center"/>
      <protection/>
    </xf>
    <xf numFmtId="168" fontId="1" fillId="0" borderId="69" xfId="46" applyNumberFormat="1" applyFont="1" applyBorder="1" applyAlignment="1" applyProtection="1">
      <alignment horizontal="right" vertical="center"/>
      <protection/>
    </xf>
    <xf numFmtId="167" fontId="1" fillId="0" borderId="72" xfId="46" applyNumberFormat="1" applyFont="1" applyBorder="1" applyAlignment="1" applyProtection="1">
      <alignment horizontal="right" vertical="center"/>
      <protection/>
    </xf>
    <xf numFmtId="0" fontId="34" fillId="0" borderId="69" xfId="46" applyFont="1" applyBorder="1" applyAlignment="1" applyProtection="1">
      <alignment horizontal="left" vertical="center"/>
      <protection/>
    </xf>
    <xf numFmtId="0" fontId="32" fillId="0" borderId="72" xfId="46" applyFont="1" applyBorder="1" applyAlignment="1" applyProtection="1">
      <alignment horizontal="left" vertical="center"/>
      <protection/>
    </xf>
    <xf numFmtId="169" fontId="34" fillId="0" borderId="68" xfId="46" applyNumberFormat="1" applyFont="1" applyBorder="1" applyAlignment="1" applyProtection="1">
      <alignment horizontal="right" vertical="center"/>
      <protection/>
    </xf>
    <xf numFmtId="0" fontId="32" fillId="0" borderId="73" xfId="46" applyFont="1" applyBorder="1" applyAlignment="1" applyProtection="1">
      <alignment horizontal="left" vertical="center"/>
      <protection/>
    </xf>
    <xf numFmtId="0" fontId="32" fillId="0" borderId="74" xfId="46" applyFont="1" applyBorder="1" applyAlignment="1" applyProtection="1">
      <alignment horizontal="left" vertical="center"/>
      <protection/>
    </xf>
    <xf numFmtId="0" fontId="32" fillId="0" borderId="75" xfId="46" applyFont="1" applyBorder="1" applyAlignment="1" applyProtection="1">
      <alignment horizontal="center" vertical="center"/>
      <protection/>
    </xf>
    <xf numFmtId="168" fontId="0" fillId="0" borderId="52" xfId="46" applyNumberFormat="1" applyFont="1" applyBorder="1" applyAlignment="1" applyProtection="1">
      <alignment horizontal="right" vertical="center"/>
      <protection/>
    </xf>
    <xf numFmtId="0" fontId="25" fillId="0" borderId="69" xfId="46" applyFont="1" applyBorder="1" applyAlignment="1" applyProtection="1">
      <alignment horizontal="left" vertical="center"/>
      <protection/>
    </xf>
    <xf numFmtId="168" fontId="1" fillId="0" borderId="52" xfId="46" applyNumberFormat="1" applyFont="1" applyBorder="1" applyAlignment="1" applyProtection="1">
      <alignment horizontal="right" vertical="center"/>
      <protection/>
    </xf>
    <xf numFmtId="167" fontId="1" fillId="0" borderId="54" xfId="46" applyNumberFormat="1" applyFont="1" applyBorder="1" applyAlignment="1" applyProtection="1">
      <alignment horizontal="right" vertical="center"/>
      <protection/>
    </xf>
    <xf numFmtId="3" fontId="0" fillId="0" borderId="52" xfId="46" applyNumberFormat="1" applyFont="1" applyBorder="1" applyAlignment="1" applyProtection="1">
      <alignment horizontal="right" vertical="center"/>
      <protection/>
    </xf>
    <xf numFmtId="0" fontId="32" fillId="0" borderId="76" xfId="46" applyFont="1" applyBorder="1" applyAlignment="1" applyProtection="1">
      <alignment horizontal="center" vertical="center"/>
      <protection/>
    </xf>
    <xf numFmtId="0" fontId="32" fillId="0" borderId="63" xfId="46" applyFont="1" applyBorder="1" applyAlignment="1" applyProtection="1">
      <alignment horizontal="left" vertical="center"/>
      <protection/>
    </xf>
    <xf numFmtId="0" fontId="32" fillId="0" borderId="61" xfId="46" applyFont="1" applyBorder="1" applyAlignment="1" applyProtection="1">
      <alignment horizontal="left" vertical="center"/>
      <protection/>
    </xf>
    <xf numFmtId="0" fontId="32" fillId="0" borderId="62" xfId="46" applyFont="1" applyBorder="1" applyAlignment="1" applyProtection="1">
      <alignment horizontal="left" vertical="center"/>
      <protection/>
    </xf>
    <xf numFmtId="168" fontId="0" fillId="0" borderId="77" xfId="46" applyNumberFormat="1" applyFont="1" applyBorder="1" applyAlignment="1" applyProtection="1">
      <alignment horizontal="right" vertical="center"/>
      <protection/>
    </xf>
    <xf numFmtId="168" fontId="0" fillId="0" borderId="53" xfId="46" applyNumberFormat="1" applyFont="1" applyBorder="1" applyAlignment="1" applyProtection="1">
      <alignment horizontal="right" vertical="center"/>
      <protection/>
    </xf>
    <xf numFmtId="167" fontId="0" fillId="0" borderId="50" xfId="46" applyNumberFormat="1" applyFont="1" applyBorder="1" applyAlignment="1" applyProtection="1">
      <alignment horizontal="right" vertical="center"/>
      <protection/>
    </xf>
    <xf numFmtId="3" fontId="0" fillId="0" borderId="77" xfId="46" applyNumberFormat="1" applyFont="1" applyBorder="1" applyAlignment="1" applyProtection="1">
      <alignment horizontal="right" vertical="center"/>
      <protection/>
    </xf>
    <xf numFmtId="0" fontId="24" fillId="0" borderId="44" xfId="46" applyFont="1" applyBorder="1" applyAlignment="1" applyProtection="1">
      <alignment horizontal="left" vertical="top"/>
      <protection/>
    </xf>
    <xf numFmtId="0" fontId="32" fillId="0" borderId="78" xfId="46" applyFont="1" applyBorder="1" applyAlignment="1" applyProtection="1">
      <alignment horizontal="left" vertical="center"/>
      <protection/>
    </xf>
    <xf numFmtId="0" fontId="32" fillId="0" borderId="79" xfId="46" applyFont="1" applyBorder="1" applyAlignment="1" applyProtection="1">
      <alignment horizontal="left" vertical="center"/>
      <protection/>
    </xf>
    <xf numFmtId="3" fontId="32" fillId="0" borderId="45" xfId="46" applyNumberFormat="1" applyFont="1" applyBorder="1" applyAlignment="1" applyProtection="1">
      <alignment horizontal="left" vertical="center"/>
      <protection/>
    </xf>
    <xf numFmtId="0" fontId="32" fillId="0" borderId="80" xfId="46" applyFont="1" applyBorder="1" applyAlignment="1" applyProtection="1">
      <alignment horizontal="left" vertical="center"/>
      <protection/>
    </xf>
    <xf numFmtId="0" fontId="32" fillId="0" borderId="81" xfId="46" applyFont="1" applyBorder="1" applyAlignment="1" applyProtection="1">
      <alignment horizontal="left" vertical="center"/>
      <protection/>
    </xf>
    <xf numFmtId="3" fontId="21" fillId="0" borderId="17" xfId="46" applyNumberFormat="1" applyFont="1" applyBorder="1" applyAlignment="1" applyProtection="1">
      <alignment horizontal="right" vertical="center"/>
      <protection/>
    </xf>
    <xf numFmtId="0" fontId="32" fillId="0" borderId="19" xfId="46" applyFont="1" applyBorder="1" applyAlignment="1" applyProtection="1">
      <alignment horizontal="left" vertical="center"/>
      <protection/>
    </xf>
    <xf numFmtId="0" fontId="32" fillId="0" borderId="82" xfId="46" applyFont="1" applyBorder="1" applyAlignment="1" applyProtection="1">
      <alignment horizontal="left"/>
      <protection/>
    </xf>
    <xf numFmtId="0" fontId="32" fillId="0" borderId="83" xfId="46" applyFont="1" applyBorder="1" applyAlignment="1" applyProtection="1">
      <alignment horizontal="left" vertical="center"/>
      <protection/>
    </xf>
    <xf numFmtId="0" fontId="32" fillId="0" borderId="73" xfId="46" applyFont="1" applyBorder="1" applyAlignment="1" applyProtection="1">
      <alignment horizontal="left"/>
      <protection/>
    </xf>
    <xf numFmtId="167" fontId="34" fillId="0" borderId="69" xfId="46" applyNumberFormat="1" applyFont="1" applyBorder="1" applyAlignment="1" applyProtection="1">
      <alignment horizontal="right" vertical="center"/>
      <protection/>
    </xf>
    <xf numFmtId="170" fontId="34" fillId="0" borderId="72" xfId="46" applyNumberFormat="1" applyFont="1" applyBorder="1" applyAlignment="1" applyProtection="1">
      <alignment horizontal="right" vertical="center"/>
      <protection/>
    </xf>
    <xf numFmtId="3" fontId="0" fillId="0" borderId="73" xfId="46" applyNumberFormat="1" applyFont="1" applyBorder="1" applyAlignment="1" applyProtection="1">
      <alignment horizontal="right" vertical="center"/>
      <protection/>
    </xf>
    <xf numFmtId="0" fontId="32" fillId="0" borderId="84" xfId="46" applyFont="1" applyBorder="1" applyAlignment="1" applyProtection="1">
      <alignment horizontal="left" vertical="center"/>
      <protection/>
    </xf>
    <xf numFmtId="0" fontId="24" fillId="0" borderId="85" xfId="46" applyFont="1" applyBorder="1" applyAlignment="1" applyProtection="1">
      <alignment horizontal="left" vertical="top"/>
      <protection/>
    </xf>
    <xf numFmtId="0" fontId="32" fillId="0" borderId="86" xfId="46" applyFont="1" applyBorder="1" applyAlignment="1" applyProtection="1">
      <alignment horizontal="left" vertical="center"/>
      <protection/>
    </xf>
    <xf numFmtId="0" fontId="32" fillId="0" borderId="66" xfId="46" applyFont="1" applyBorder="1" applyAlignment="1" applyProtection="1">
      <alignment horizontal="left" vertical="center"/>
      <protection/>
    </xf>
    <xf numFmtId="3" fontId="0" fillId="0" borderId="69" xfId="46" applyNumberFormat="1" applyFont="1" applyBorder="1" applyAlignment="1" applyProtection="1">
      <alignment horizontal="right" vertical="center"/>
      <protection/>
    </xf>
    <xf numFmtId="0" fontId="24" fillId="0" borderId="63" xfId="46" applyFont="1" applyBorder="1" applyAlignment="1" applyProtection="1">
      <alignment horizontal="left" vertical="center"/>
      <protection/>
    </xf>
    <xf numFmtId="0" fontId="1" fillId="0" borderId="56" xfId="46" applyFont="1" applyBorder="1" applyAlignment="1" applyProtection="1">
      <alignment horizontal="left" vertical="center"/>
      <protection/>
    </xf>
    <xf numFmtId="0" fontId="32" fillId="0" borderId="49" xfId="46" applyFont="1" applyBorder="1" applyAlignment="1" applyProtection="1">
      <alignment horizontal="left"/>
      <protection/>
    </xf>
    <xf numFmtId="0" fontId="32" fillId="0" borderId="87" xfId="46" applyFont="1" applyBorder="1" applyAlignment="1" applyProtection="1">
      <alignment horizontal="left" vertical="center"/>
      <protection/>
    </xf>
    <xf numFmtId="0" fontId="32" fillId="0" borderId="77" xfId="46" applyFont="1" applyBorder="1" applyAlignment="1" applyProtection="1">
      <alignment horizontal="left"/>
      <protection/>
    </xf>
    <xf numFmtId="0" fontId="32" fillId="0" borderId="64" xfId="46" applyFont="1" applyBorder="1" applyAlignment="1" applyProtection="1">
      <alignment horizontal="left" vertical="center"/>
      <protection/>
    </xf>
    <xf numFmtId="0" fontId="1" fillId="0" borderId="0" xfId="48">
      <alignment/>
      <protection/>
    </xf>
    <xf numFmtId="0" fontId="38" fillId="0" borderId="0" xfId="48" applyNumberFormat="1" applyFont="1" applyFill="1" applyAlignment="1" applyProtection="1">
      <alignment vertical="center"/>
      <protection/>
    </xf>
    <xf numFmtId="0" fontId="36" fillId="0" borderId="0" xfId="48" applyNumberFormat="1" applyFont="1" applyFill="1" applyAlignment="1" applyProtection="1">
      <alignment vertical="center"/>
      <protection/>
    </xf>
    <xf numFmtId="0" fontId="1" fillId="0" borderId="0" xfId="48" applyFill="1">
      <alignment/>
      <protection/>
    </xf>
    <xf numFmtId="0" fontId="34" fillId="0" borderId="0" xfId="46" applyFont="1" applyFill="1" applyAlignment="1" applyProtection="1">
      <alignment horizontal="left"/>
      <protection/>
    </xf>
    <xf numFmtId="0" fontId="33" fillId="0" borderId="0" xfId="46" applyFont="1" applyFill="1" applyAlignment="1" applyProtection="1">
      <alignment horizontal="left"/>
      <protection/>
    </xf>
    <xf numFmtId="0" fontId="12" fillId="0" borderId="0" xfId="46" applyFill="1" applyAlignment="1">
      <alignment horizontal="left" vertical="top"/>
      <protection locked="0"/>
    </xf>
    <xf numFmtId="0" fontId="36" fillId="17" borderId="88" xfId="48" applyNumberFormat="1" applyFont="1" applyFill="1" applyBorder="1" applyAlignment="1" applyProtection="1">
      <alignment horizontal="center" vertical="center" wrapText="1"/>
      <protection/>
    </xf>
    <xf numFmtId="0" fontId="36" fillId="17" borderId="89" xfId="48" applyNumberFormat="1" applyFont="1" applyFill="1" applyBorder="1" applyAlignment="1" applyProtection="1">
      <alignment horizontal="center" vertical="center" wrapText="1"/>
      <protection/>
    </xf>
    <xf numFmtId="0" fontId="36" fillId="17" borderId="90" xfId="48" applyNumberFormat="1" applyFont="1" applyFill="1" applyBorder="1" applyAlignment="1" applyProtection="1">
      <alignment horizontal="center" vertical="center" wrapText="1"/>
      <protection/>
    </xf>
    <xf numFmtId="0" fontId="39" fillId="17" borderId="76" xfId="48" applyNumberFormat="1" applyFont="1" applyFill="1" applyBorder="1" applyAlignment="1" applyProtection="1">
      <alignment horizontal="center" vertical="center" wrapText="1"/>
      <protection/>
    </xf>
    <xf numFmtId="0" fontId="39" fillId="17" borderId="91" xfId="48" applyNumberFormat="1" applyFont="1" applyFill="1" applyBorder="1" applyAlignment="1" applyProtection="1">
      <alignment horizontal="center" vertical="center" wrapText="1"/>
      <protection/>
    </xf>
    <xf numFmtId="0" fontId="39" fillId="17" borderId="92" xfId="48" applyNumberFormat="1" applyFont="1" applyFill="1" applyBorder="1" applyAlignment="1" applyProtection="1">
      <alignment horizontal="center" vertical="center" wrapText="1"/>
      <protection/>
    </xf>
    <xf numFmtId="0" fontId="36" fillId="18" borderId="0" xfId="48" applyNumberFormat="1" applyFont="1" applyFill="1" applyAlignment="1" applyProtection="1">
      <alignment vertical="center"/>
      <protection/>
    </xf>
    <xf numFmtId="171" fontId="34" fillId="24" borderId="76" xfId="48" applyNumberFormat="1" applyFont="1" applyFill="1" applyBorder="1" applyAlignment="1" applyProtection="1">
      <alignment horizontal="center" vertical="center"/>
      <protection/>
    </xf>
    <xf numFmtId="171" fontId="34" fillId="24" borderId="91" xfId="48" applyNumberFormat="1" applyFont="1" applyFill="1" applyBorder="1" applyAlignment="1" applyProtection="1">
      <alignment horizontal="left" vertical="center"/>
      <protection/>
    </xf>
    <xf numFmtId="4" fontId="34" fillId="24" borderId="91" xfId="48" applyNumberFormat="1" applyFont="1" applyFill="1" applyBorder="1" applyAlignment="1" applyProtection="1">
      <alignment horizontal="right" vertical="center"/>
      <protection/>
    </xf>
    <xf numFmtId="164" fontId="34" fillId="24" borderId="92" xfId="48" applyNumberFormat="1" applyFont="1" applyFill="1" applyBorder="1" applyAlignment="1" applyProtection="1">
      <alignment horizontal="right" vertical="center"/>
      <protection/>
    </xf>
    <xf numFmtId="171" fontId="40" fillId="24" borderId="0" xfId="48" applyNumberFormat="1" applyFont="1" applyFill="1" applyBorder="1" applyAlignment="1" applyProtection="1">
      <alignment horizontal="center" vertical="top"/>
      <protection/>
    </xf>
    <xf numFmtId="171" fontId="40" fillId="24" borderId="0" xfId="48" applyNumberFormat="1" applyFont="1" applyFill="1" applyBorder="1" applyAlignment="1" applyProtection="1">
      <alignment horizontal="left" vertical="top"/>
      <protection/>
    </xf>
    <xf numFmtId="4" fontId="40" fillId="24" borderId="0" xfId="48" applyNumberFormat="1" applyFont="1" applyFill="1" applyBorder="1" applyAlignment="1" applyProtection="1">
      <alignment horizontal="right" vertical="top"/>
      <protection/>
    </xf>
    <xf numFmtId="164" fontId="40" fillId="24" borderId="0" xfId="48" applyNumberFormat="1" applyFont="1" applyFill="1" applyBorder="1" applyAlignment="1" applyProtection="1">
      <alignment horizontal="right" vertical="top"/>
      <protection/>
    </xf>
    <xf numFmtId="171" fontId="41" fillId="24" borderId="0" xfId="48" applyNumberFormat="1" applyFont="1" applyFill="1" applyBorder="1" applyAlignment="1" applyProtection="1">
      <alignment horizontal="center"/>
      <protection/>
    </xf>
    <xf numFmtId="171" fontId="41" fillId="24" borderId="0" xfId="48" applyNumberFormat="1" applyFont="1" applyFill="1" applyBorder="1" applyAlignment="1" applyProtection="1">
      <alignment horizontal="left"/>
      <protection/>
    </xf>
    <xf numFmtId="4" fontId="41" fillId="24" borderId="0" xfId="48" applyNumberFormat="1" applyFont="1" applyFill="1" applyBorder="1" applyAlignment="1" applyProtection="1">
      <alignment horizontal="right"/>
      <protection/>
    </xf>
    <xf numFmtId="164" fontId="41" fillId="24" borderId="0" xfId="48" applyNumberFormat="1" applyFont="1" applyFill="1" applyBorder="1" applyAlignment="1" applyProtection="1">
      <alignment horizontal="right"/>
      <protection/>
    </xf>
    <xf numFmtId="168" fontId="12" fillId="0" borderId="0" xfId="46" applyNumberFormat="1" applyAlignment="1">
      <alignment horizontal="center" vertical="top"/>
      <protection locked="0"/>
    </xf>
    <xf numFmtId="0" fontId="12" fillId="0" borderId="0" xfId="46" applyAlignment="1">
      <alignment horizontal="center" vertical="top" wrapText="1"/>
      <protection locked="0"/>
    </xf>
    <xf numFmtId="0" fontId="12" fillId="0" borderId="0" xfId="46" applyAlignment="1">
      <alignment horizontal="left" vertical="top" wrapText="1"/>
      <protection locked="0"/>
    </xf>
    <xf numFmtId="172" fontId="12" fillId="0" borderId="0" xfId="46" applyNumberFormat="1" applyAlignment="1">
      <alignment horizontal="right" vertical="top"/>
      <protection locked="0"/>
    </xf>
    <xf numFmtId="170" fontId="12" fillId="0" borderId="0" xfId="46" applyNumberFormat="1" applyAlignment="1">
      <alignment horizontal="right" vertical="top"/>
      <protection locked="0"/>
    </xf>
    <xf numFmtId="0" fontId="38" fillId="0" borderId="0" xfId="46" applyFont="1" applyFill="1" applyAlignment="1" applyProtection="1">
      <alignment horizontal="left"/>
      <protection/>
    </xf>
    <xf numFmtId="49" fontId="34" fillId="0" borderId="0" xfId="46" applyNumberFormat="1" applyFont="1" applyFill="1" applyAlignment="1" applyProtection="1">
      <alignment horizontal="left"/>
      <protection/>
    </xf>
    <xf numFmtId="0" fontId="42" fillId="17" borderId="22" xfId="46" applyFont="1" applyFill="1" applyBorder="1" applyAlignment="1" applyProtection="1">
      <alignment horizontal="center" vertical="center" wrapText="1"/>
      <protection/>
    </xf>
    <xf numFmtId="0" fontId="36" fillId="18" borderId="0" xfId="46" applyFont="1" applyFill="1" applyAlignment="1" applyProtection="1">
      <alignment horizontal="left"/>
      <protection/>
    </xf>
    <xf numFmtId="168" fontId="33" fillId="0" borderId="0" xfId="46" applyNumberFormat="1" applyFont="1" applyAlignment="1">
      <alignment horizontal="center"/>
      <protection locked="0"/>
    </xf>
    <xf numFmtId="0" fontId="33" fillId="0" borderId="0" xfId="46" applyFont="1" applyAlignment="1">
      <alignment horizontal="center" wrapText="1"/>
      <protection locked="0"/>
    </xf>
    <xf numFmtId="0" fontId="33" fillId="0" borderId="0" xfId="46" applyFont="1" applyAlignment="1">
      <alignment horizontal="left" wrapText="1"/>
      <protection locked="0"/>
    </xf>
    <xf numFmtId="172" fontId="33" fillId="0" borderId="0" xfId="46" applyNumberFormat="1" applyFont="1" applyAlignment="1">
      <alignment horizontal="right"/>
      <protection locked="0"/>
    </xf>
    <xf numFmtId="170" fontId="33" fillId="0" borderId="0" xfId="46" applyNumberFormat="1" applyFont="1" applyAlignment="1">
      <alignment horizontal="right"/>
      <protection locked="0"/>
    </xf>
    <xf numFmtId="4" fontId="33" fillId="0" borderId="0" xfId="46" applyNumberFormat="1" applyFont="1" applyAlignment="1">
      <alignment horizontal="right"/>
      <protection locked="0"/>
    </xf>
    <xf numFmtId="168" fontId="34" fillId="0" borderId="22" xfId="46" applyNumberFormat="1" applyFont="1" applyBorder="1" applyAlignment="1">
      <alignment horizontal="center"/>
      <protection locked="0"/>
    </xf>
    <xf numFmtId="0" fontId="34" fillId="0" borderId="22" xfId="46" applyFont="1" applyBorder="1" applyAlignment="1">
      <alignment horizontal="center" wrapText="1"/>
      <protection locked="0"/>
    </xf>
    <xf numFmtId="0" fontId="34" fillId="0" borderId="22" xfId="46" applyFont="1" applyBorder="1" applyAlignment="1">
      <alignment horizontal="left" wrapText="1"/>
      <protection locked="0"/>
    </xf>
    <xf numFmtId="4" fontId="34" fillId="0" borderId="22" xfId="46" applyNumberFormat="1" applyFont="1" applyBorder="1" applyAlignment="1">
      <alignment horizontal="right"/>
      <protection locked="0"/>
    </xf>
    <xf numFmtId="170" fontId="34" fillId="0" borderId="22" xfId="46" applyNumberFormat="1" applyFont="1" applyBorder="1" applyAlignment="1">
      <alignment horizontal="right"/>
      <protection locked="0"/>
    </xf>
    <xf numFmtId="172" fontId="34" fillId="0" borderId="22" xfId="46" applyNumberFormat="1" applyFont="1" applyBorder="1" applyAlignment="1">
      <alignment horizontal="right"/>
      <protection locked="0"/>
    </xf>
    <xf numFmtId="0" fontId="12" fillId="0" borderId="0" xfId="46" applyFont="1" applyBorder="1" applyAlignment="1">
      <alignment horizontal="left" vertical="top"/>
      <protection locked="0"/>
    </xf>
    <xf numFmtId="0" fontId="34" fillId="0" borderId="22" xfId="46" applyFont="1" applyBorder="1" applyAlignment="1">
      <alignment horizontal="center" vertical="top" wrapText="1"/>
      <protection locked="0"/>
    </xf>
    <xf numFmtId="0" fontId="34" fillId="0" borderId="22" xfId="46" applyFont="1" applyBorder="1" applyAlignment="1">
      <alignment horizontal="left" vertical="top" wrapText="1"/>
      <protection locked="0"/>
    </xf>
    <xf numFmtId="168" fontId="41" fillId="0" borderId="0" xfId="46" applyNumberFormat="1" applyFont="1" applyAlignment="1">
      <alignment horizontal="center"/>
      <protection locked="0"/>
    </xf>
    <xf numFmtId="0" fontId="41" fillId="0" borderId="0" xfId="46" applyFont="1" applyAlignment="1">
      <alignment horizontal="center" wrapText="1"/>
      <protection locked="0"/>
    </xf>
    <xf numFmtId="0" fontId="41" fillId="0" borderId="0" xfId="46" applyFont="1" applyAlignment="1">
      <alignment horizontal="left" wrapText="1"/>
      <protection locked="0"/>
    </xf>
    <xf numFmtId="172" fontId="41" fillId="0" borderId="0" xfId="46" applyNumberFormat="1" applyFont="1" applyAlignment="1">
      <alignment horizontal="right"/>
      <protection locked="0"/>
    </xf>
    <xf numFmtId="170" fontId="41" fillId="0" borderId="0" xfId="46" applyNumberFormat="1" applyFont="1" applyAlignment="1">
      <alignment horizontal="right"/>
      <protection locked="0"/>
    </xf>
    <xf numFmtId="173" fontId="41" fillId="0" borderId="0" xfId="46" applyNumberFormat="1" applyFont="1" applyAlignment="1">
      <alignment horizontal="right"/>
      <protection locked="0"/>
    </xf>
    <xf numFmtId="0" fontId="1" fillId="24" borderId="0" xfId="47" applyNumberFormat="1" applyFont="1" applyFill="1" applyBorder="1" applyAlignment="1">
      <alignment horizontal="left"/>
      <protection/>
    </xf>
    <xf numFmtId="0" fontId="1" fillId="24" borderId="15" xfId="47" applyNumberFormat="1" applyFont="1" applyFill="1" applyBorder="1" applyAlignment="1">
      <alignment wrapText="1"/>
      <protection/>
    </xf>
    <xf numFmtId="4" fontId="1" fillId="24" borderId="42" xfId="47" applyNumberFormat="1" applyFont="1" applyFill="1" applyBorder="1" applyAlignment="1">
      <alignment/>
      <protection/>
    </xf>
    <xf numFmtId="4" fontId="24" fillId="0" borderId="93" xfId="47" applyNumberFormat="1" applyFont="1" applyFill="1" applyBorder="1" applyAlignment="1">
      <alignment horizontal="center" vertical="center"/>
      <protection/>
    </xf>
    <xf numFmtId="1" fontId="24" fillId="0" borderId="94" xfId="47" applyNumberFormat="1" applyFont="1" applyFill="1" applyBorder="1" applyAlignment="1">
      <alignment horizontal="center" vertical="center"/>
      <protection/>
    </xf>
    <xf numFmtId="0" fontId="25" fillId="0" borderId="0" xfId="46" applyFont="1" applyBorder="1" applyAlignment="1" applyProtection="1">
      <alignment horizontal="center" vertical="center"/>
      <protection/>
    </xf>
    <xf numFmtId="0" fontId="44" fillId="0" borderId="0" xfId="47" applyFont="1" applyBorder="1" applyAlignment="1">
      <alignment horizontal="center"/>
      <protection/>
    </xf>
    <xf numFmtId="0" fontId="30" fillId="0" borderId="0" xfId="47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KROS- 1. Rekapitulace rozpočtu - standard na výšku CZ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Zeros="0" tabSelected="1" defaultGridColor="0" zoomScalePageLayoutView="0" colorId="8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7" width="12.75390625" style="0" customWidth="1"/>
    <col min="8" max="8" width="10.00390625" style="0" customWidth="1"/>
  </cols>
  <sheetData>
    <row r="1" ht="18">
      <c r="A1" s="1" t="s">
        <v>0</v>
      </c>
    </row>
    <row r="4" ht="18">
      <c r="A4" s="1" t="s">
        <v>1</v>
      </c>
    </row>
    <row r="7" spans="4:7" ht="12.75">
      <c r="D7" s="2" t="s">
        <v>2</v>
      </c>
      <c r="G7" s="2" t="s">
        <v>3</v>
      </c>
    </row>
    <row r="8" spans="1:7" ht="12.75">
      <c r="A8" s="3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</row>
    <row r="10" spans="1:7" ht="12.75">
      <c r="A10" s="4" t="s">
        <v>11</v>
      </c>
      <c r="B10" s="5">
        <f>'SO 01'!G17</f>
        <v>0</v>
      </c>
      <c r="C10" s="5">
        <f>'SO 01'!G22</f>
        <v>0</v>
      </c>
      <c r="E10" s="5">
        <f>SUM(B10:D10)</f>
        <v>0</v>
      </c>
      <c r="F10" s="5">
        <f>'SO 01'!G25</f>
        <v>0</v>
      </c>
      <c r="G10" s="5">
        <f>SUM(E10:F10)</f>
        <v>0</v>
      </c>
    </row>
    <row r="11" ht="12.75">
      <c r="B11" s="5"/>
    </row>
    <row r="12" spans="1:7" ht="12.75">
      <c r="A12" s="4" t="s">
        <v>12</v>
      </c>
      <c r="B12" s="5">
        <f>'SO 03'!G13</f>
        <v>0</v>
      </c>
      <c r="C12" s="5">
        <f>'SO 03'!G18</f>
        <v>0</v>
      </c>
      <c r="E12" s="5">
        <f>SUM(B12:D12)</f>
        <v>0</v>
      </c>
      <c r="F12" s="5">
        <f>'SO 03'!G21</f>
        <v>0</v>
      </c>
      <c r="G12" s="5">
        <f>SUM(E12:F12)</f>
        <v>0</v>
      </c>
    </row>
    <row r="14" spans="1:7" ht="12.75">
      <c r="A14" s="4" t="s">
        <v>13</v>
      </c>
      <c r="B14" s="5">
        <f>'SO 04'!G12</f>
        <v>0</v>
      </c>
      <c r="C14" s="5">
        <f>'SO 04'!G17</f>
        <v>0</v>
      </c>
      <c r="D14" s="5"/>
      <c r="E14" s="5">
        <f>SUM(B14:D14)</f>
        <v>0</v>
      </c>
      <c r="F14" s="5">
        <f>'SO 04'!G20</f>
        <v>0</v>
      </c>
      <c r="G14" s="5">
        <f>SUM(E14:F14)</f>
        <v>0</v>
      </c>
    </row>
    <row r="15" spans="2:7" ht="12.75">
      <c r="B15" s="5"/>
      <c r="C15" s="5"/>
      <c r="D15" s="5"/>
      <c r="E15" s="5"/>
      <c r="F15" s="5"/>
      <c r="G15" s="5"/>
    </row>
    <row r="16" spans="1:7" ht="12.75">
      <c r="A16" t="s">
        <v>14</v>
      </c>
      <c r="B16" s="5">
        <f>'SO 05'!G12</f>
        <v>0</v>
      </c>
      <c r="C16" s="5">
        <f>'SO 05'!G17</f>
        <v>0</v>
      </c>
      <c r="D16" s="5"/>
      <c r="E16" s="5">
        <f>SUM(B16:D16)</f>
        <v>0</v>
      </c>
      <c r="F16" s="5">
        <f>'SO 05'!G20</f>
        <v>0</v>
      </c>
      <c r="G16" s="5">
        <f>SUM(E16:F16)</f>
        <v>0</v>
      </c>
    </row>
    <row r="18" spans="1:7" ht="13.5" thickBot="1">
      <c r="A18" t="s">
        <v>15</v>
      </c>
      <c r="B18" s="6">
        <f>'PS 01_KR_LIST'!E27</f>
        <v>0</v>
      </c>
      <c r="C18" s="6">
        <f>'PS 01_KR_LIST'!Q27</f>
        <v>0</v>
      </c>
      <c r="D18" s="6">
        <f>'PS 01_KR_LIST'!J28</f>
        <v>0</v>
      </c>
      <c r="E18" s="6">
        <f>SUM(B18:D18)</f>
        <v>0</v>
      </c>
      <c r="F18" s="6">
        <f>'PS 01_KR_LIST'!Q32</f>
        <v>0</v>
      </c>
      <c r="G18" s="6">
        <f>SUM(E18:F18)</f>
        <v>0</v>
      </c>
    </row>
    <row r="19" spans="1:7" ht="12.75">
      <c r="A19" s="3" t="s">
        <v>8</v>
      </c>
      <c r="B19" s="5">
        <f>SUM(B10:B18)</f>
        <v>0</v>
      </c>
      <c r="C19" s="5">
        <f>SUM(C10:C18)</f>
        <v>0</v>
      </c>
      <c r="E19" s="7">
        <f>SUM(E10:E18)</f>
        <v>0</v>
      </c>
      <c r="F19" s="5">
        <f>SUM(F10:F18)</f>
        <v>0</v>
      </c>
      <c r="G19" s="7">
        <f>SUM(G10:G18)</f>
        <v>0</v>
      </c>
    </row>
    <row r="23" ht="12.75">
      <c r="E23" s="5"/>
    </row>
  </sheetData>
  <sheetProtection/>
  <printOptions/>
  <pageMargins left="0.7875" right="0.7875" top="0.9840277777777778" bottom="0.984027777777778" header="0.5118055555555556" footer="0.5118055555555556"/>
  <pageSetup horizontalDpi="300" verticalDpi="3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showZeros="0" defaultGridColor="0" zoomScalePageLayoutView="0" colorId="8" workbookViewId="0" topLeftCell="A1">
      <selection activeCell="A1" sqref="A1"/>
    </sheetView>
  </sheetViews>
  <sheetFormatPr defaultColWidth="9.00390625" defaultRowHeight="12.75"/>
  <cols>
    <col min="1" max="1" width="5.375" style="8" customWidth="1"/>
    <col min="2" max="2" width="12.25390625" style="8" customWidth="1"/>
    <col min="3" max="3" width="56.25390625" style="0" customWidth="1"/>
    <col min="4" max="4" width="5.125" style="8" customWidth="1"/>
    <col min="5" max="5" width="13.00390625" style="9" customWidth="1"/>
    <col min="6" max="6" width="15.625" style="9" customWidth="1"/>
    <col min="7" max="7" width="14.25390625" style="9" customWidth="1"/>
    <col min="8" max="8" width="0" style="0" hidden="1" customWidth="1"/>
    <col min="9" max="9" width="0" style="9" hidden="1" customWidth="1"/>
  </cols>
  <sheetData>
    <row r="1" ht="18">
      <c r="C1" s="1" t="s">
        <v>0</v>
      </c>
    </row>
    <row r="3" ht="15.75">
      <c r="C3" s="10" t="s">
        <v>11</v>
      </c>
    </row>
    <row r="5" ht="15.75">
      <c r="C5" s="10" t="s">
        <v>16</v>
      </c>
    </row>
    <row r="6" spans="1:9" ht="12.75">
      <c r="A6" s="8" t="s">
        <v>17</v>
      </c>
      <c r="C6" s="11" t="s">
        <v>18</v>
      </c>
      <c r="G6" s="5">
        <f>G166</f>
        <v>0</v>
      </c>
      <c r="I6" s="5">
        <f>I166</f>
        <v>0.0099855</v>
      </c>
    </row>
    <row r="7" spans="1:9" ht="12.75">
      <c r="A7" s="8" t="s">
        <v>19</v>
      </c>
      <c r="C7" s="11" t="s">
        <v>20</v>
      </c>
      <c r="G7" s="5">
        <f>G187</f>
        <v>0</v>
      </c>
      <c r="I7" s="5">
        <f>I187</f>
        <v>0.77404765</v>
      </c>
    </row>
    <row r="8" spans="1:9" ht="12.75">
      <c r="A8" s="8" t="s">
        <v>21</v>
      </c>
      <c r="C8" s="11" t="s">
        <v>22</v>
      </c>
      <c r="G8" s="5">
        <f>G208</f>
        <v>0</v>
      </c>
      <c r="I8" s="5">
        <f>I208</f>
        <v>238.45561374200003</v>
      </c>
    </row>
    <row r="9" spans="1:9" ht="12.75">
      <c r="A9" s="8" t="s">
        <v>23</v>
      </c>
      <c r="C9" s="11" t="s">
        <v>24</v>
      </c>
      <c r="G9" s="5">
        <f>G228</f>
        <v>0</v>
      </c>
      <c r="I9" s="5">
        <f>I228</f>
        <v>13.084206599999998</v>
      </c>
    </row>
    <row r="10" spans="1:9" ht="12.75">
      <c r="A10" s="8" t="s">
        <v>25</v>
      </c>
      <c r="C10" s="11" t="s">
        <v>26</v>
      </c>
      <c r="G10" s="5">
        <f>G269</f>
        <v>0</v>
      </c>
      <c r="I10" s="5">
        <f>I269</f>
        <v>0.027555200000000002</v>
      </c>
    </row>
    <row r="11" spans="1:9" ht="12.75">
      <c r="A11" s="8" t="s">
        <v>27</v>
      </c>
      <c r="C11" s="11" t="s">
        <v>28</v>
      </c>
      <c r="G11" s="5">
        <f>G288</f>
        <v>0</v>
      </c>
      <c r="I11" s="5"/>
    </row>
    <row r="12" spans="1:9" ht="12.75">
      <c r="A12" s="8" t="s">
        <v>29</v>
      </c>
      <c r="C12" s="11" t="s">
        <v>30</v>
      </c>
      <c r="G12" s="6">
        <f>G301</f>
        <v>0</v>
      </c>
      <c r="I12" s="6"/>
    </row>
    <row r="13" spans="2:9" ht="12.75">
      <c r="B13" s="8" t="s">
        <v>31</v>
      </c>
      <c r="C13" s="11" t="s">
        <v>32</v>
      </c>
      <c r="G13" s="5">
        <f>SUM(G6:G12)</f>
        <v>0</v>
      </c>
      <c r="I13" s="5">
        <f>SUM(I6:I12)</f>
        <v>252.351408692</v>
      </c>
    </row>
    <row r="14" spans="1:7" ht="12.75">
      <c r="A14" s="8" t="s">
        <v>33</v>
      </c>
      <c r="B14" s="8" t="s">
        <v>34</v>
      </c>
      <c r="C14" s="11" t="s">
        <v>35</v>
      </c>
      <c r="D14" s="8" t="s">
        <v>36</v>
      </c>
      <c r="E14" s="9">
        <f>I13</f>
        <v>252.351408692</v>
      </c>
      <c r="G14" s="6">
        <f>E14*F14</f>
        <v>0</v>
      </c>
    </row>
    <row r="15" spans="3:7" ht="12.75">
      <c r="C15" s="11" t="s">
        <v>32</v>
      </c>
      <c r="G15" s="12">
        <f>SUM(G13:G14)</f>
        <v>0</v>
      </c>
    </row>
    <row r="16" spans="1:7" ht="12.75">
      <c r="A16" s="8" t="s">
        <v>37</v>
      </c>
      <c r="C16" s="11" t="s">
        <v>38</v>
      </c>
      <c r="G16" s="6">
        <f>'SO 01-ELEKTRO'!I44+'SO 01-ELEKTRO'!K44</f>
        <v>0</v>
      </c>
    </row>
    <row r="17" spans="3:7" ht="12.75">
      <c r="C17" s="3" t="s">
        <v>8</v>
      </c>
      <c r="G17" s="7">
        <f>SUM(G15:G16)</f>
        <v>0</v>
      </c>
    </row>
    <row r="19" spans="3:7" ht="15.75">
      <c r="C19" s="10" t="s">
        <v>39</v>
      </c>
      <c r="G19" s="5"/>
    </row>
    <row r="20" spans="1:7" ht="12.75">
      <c r="A20" s="8" t="s">
        <v>17</v>
      </c>
      <c r="C20" t="s">
        <v>40</v>
      </c>
      <c r="D20" s="8" t="s">
        <v>41</v>
      </c>
      <c r="E20" s="9">
        <f>G17</f>
        <v>0</v>
      </c>
      <c r="F20" s="13">
        <v>0.023</v>
      </c>
      <c r="G20" s="5">
        <f>E20*F20</f>
        <v>0</v>
      </c>
    </row>
    <row r="21" spans="1:7" ht="12.75">
      <c r="A21" s="8" t="s">
        <v>19</v>
      </c>
      <c r="C21" t="s">
        <v>42</v>
      </c>
      <c r="D21" s="8" t="s">
        <v>41</v>
      </c>
      <c r="E21" s="9">
        <f>G17</f>
        <v>0</v>
      </c>
      <c r="F21" s="13">
        <v>0.032</v>
      </c>
      <c r="G21" s="6">
        <f>E21*F21</f>
        <v>0</v>
      </c>
    </row>
    <row r="22" spans="3:7" ht="12.75">
      <c r="C22" s="3" t="s">
        <v>8</v>
      </c>
      <c r="G22" s="7">
        <f>SUM(G20:G21)</f>
        <v>0</v>
      </c>
    </row>
    <row r="23" ht="12.75">
      <c r="G23" s="5"/>
    </row>
    <row r="24" spans="3:7" ht="15.75">
      <c r="C24" s="10" t="s">
        <v>8</v>
      </c>
      <c r="G24" s="7">
        <f>G17+G22</f>
        <v>0</v>
      </c>
    </row>
    <row r="25" spans="3:7" ht="15.75">
      <c r="C25" s="10" t="s">
        <v>9</v>
      </c>
      <c r="D25" s="8" t="s">
        <v>41</v>
      </c>
      <c r="E25" s="9">
        <f>G24</f>
        <v>0</v>
      </c>
      <c r="F25" s="9">
        <v>0.21</v>
      </c>
      <c r="G25" s="7">
        <f>E25*F25</f>
        <v>0</v>
      </c>
    </row>
    <row r="26" spans="3:7" ht="15.75">
      <c r="C26" s="10" t="s">
        <v>43</v>
      </c>
      <c r="G26" s="7">
        <f>SUM(G24:G25)</f>
        <v>0</v>
      </c>
    </row>
    <row r="35" spans="1:9" ht="12.75">
      <c r="A35" s="8" t="s">
        <v>44</v>
      </c>
      <c r="B35" s="8" t="s">
        <v>45</v>
      </c>
      <c r="C35" s="8" t="s">
        <v>46</v>
      </c>
      <c r="D35" s="8" t="s">
        <v>47</v>
      </c>
      <c r="E35" s="14" t="s">
        <v>48</v>
      </c>
      <c r="F35" s="14" t="s">
        <v>49</v>
      </c>
      <c r="G35" s="14" t="s">
        <v>8</v>
      </c>
      <c r="H35" s="8" t="s">
        <v>50</v>
      </c>
      <c r="I35" s="14" t="s">
        <v>51</v>
      </c>
    </row>
    <row r="37" spans="2:3" ht="12.75">
      <c r="B37" s="8" t="s">
        <v>52</v>
      </c>
      <c r="C37" s="2" t="s">
        <v>18</v>
      </c>
    </row>
    <row r="39" spans="1:7" ht="12.75">
      <c r="A39" s="8" t="s">
        <v>17</v>
      </c>
      <c r="B39" s="8" t="s">
        <v>53</v>
      </c>
      <c r="C39" t="s">
        <v>54</v>
      </c>
      <c r="D39" s="8" t="s">
        <v>55</v>
      </c>
      <c r="E39" s="9">
        <v>550</v>
      </c>
      <c r="G39" s="9">
        <f>E39*F39</f>
        <v>0</v>
      </c>
    </row>
    <row r="41" spans="1:7" ht="12.75">
      <c r="A41" s="8" t="s">
        <v>19</v>
      </c>
      <c r="B41" s="8" t="s">
        <v>56</v>
      </c>
      <c r="C41" t="s">
        <v>57</v>
      </c>
      <c r="D41" s="8" t="s">
        <v>58</v>
      </c>
      <c r="E41" s="9">
        <v>50</v>
      </c>
      <c r="F41" s="9">
        <v>0</v>
      </c>
      <c r="G41" s="9">
        <f>E41*F41</f>
        <v>0</v>
      </c>
    </row>
    <row r="43" spans="1:6" ht="12.75">
      <c r="A43" s="8" t="s">
        <v>21</v>
      </c>
      <c r="B43" s="8" t="s">
        <v>59</v>
      </c>
      <c r="C43" t="s">
        <v>60</v>
      </c>
      <c r="F43" s="9">
        <v>0</v>
      </c>
    </row>
    <row r="44" spans="3:7" ht="12.75">
      <c r="C44" t="s">
        <v>61</v>
      </c>
      <c r="D44" s="8" t="s">
        <v>62</v>
      </c>
      <c r="E44" s="9">
        <f>17*14*0.2</f>
        <v>47.6</v>
      </c>
      <c r="F44" s="9">
        <v>0</v>
      </c>
      <c r="G44" s="9">
        <f aca="true" t="shared" si="0" ref="G44:G50">E44*F44</f>
        <v>0</v>
      </c>
    </row>
    <row r="45" ht="12.75">
      <c r="G45" s="9">
        <f t="shared" si="0"/>
        <v>0</v>
      </c>
    </row>
    <row r="46" spans="1:7" ht="12.75">
      <c r="A46" s="8" t="s">
        <v>23</v>
      </c>
      <c r="B46" s="8" t="s">
        <v>63</v>
      </c>
      <c r="C46" t="s">
        <v>64</v>
      </c>
      <c r="G46" s="9">
        <f t="shared" si="0"/>
        <v>0</v>
      </c>
    </row>
    <row r="47" spans="3:7" ht="12.75">
      <c r="C47" t="s">
        <v>65</v>
      </c>
      <c r="G47" s="9">
        <f t="shared" si="0"/>
        <v>0</v>
      </c>
    </row>
    <row r="48" spans="3:7" ht="12.75">
      <c r="C48" t="s">
        <v>66</v>
      </c>
      <c r="G48" s="9">
        <f t="shared" si="0"/>
        <v>0</v>
      </c>
    </row>
    <row r="49" spans="3:7" ht="12.75">
      <c r="C49" t="s">
        <v>67</v>
      </c>
      <c r="D49" s="8" t="s">
        <v>62</v>
      </c>
      <c r="E49" s="9">
        <f>(4.63*4.63+7.83*7.83)*0.5*3.2</f>
        <v>132.39328</v>
      </c>
      <c r="G49" s="9">
        <f t="shared" si="0"/>
        <v>0</v>
      </c>
    </row>
    <row r="50" spans="3:7" ht="12.75">
      <c r="C50" t="s">
        <v>68</v>
      </c>
      <c r="D50" s="8" t="s">
        <v>62</v>
      </c>
      <c r="E50" s="9">
        <f>132.39*0.5</f>
        <v>66.195</v>
      </c>
      <c r="F50" s="9">
        <v>0</v>
      </c>
      <c r="G50" s="9">
        <f t="shared" si="0"/>
        <v>0</v>
      </c>
    </row>
    <row r="52" spans="1:3" ht="12.75">
      <c r="A52" s="8" t="s">
        <v>25</v>
      </c>
      <c r="B52" s="8" t="s">
        <v>69</v>
      </c>
      <c r="C52" t="s">
        <v>70</v>
      </c>
    </row>
    <row r="53" spans="3:7" ht="12.75">
      <c r="C53" t="s">
        <v>71</v>
      </c>
      <c r="D53" s="8" t="s">
        <v>62</v>
      </c>
      <c r="E53" s="9">
        <f>66.2*0.5</f>
        <v>33.1</v>
      </c>
      <c r="F53" s="9">
        <v>0</v>
      </c>
      <c r="G53" s="9">
        <f>E53*F53</f>
        <v>0</v>
      </c>
    </row>
    <row r="55" spans="1:3" ht="12.75">
      <c r="A55" s="8" t="s">
        <v>27</v>
      </c>
      <c r="B55" s="8" t="s">
        <v>72</v>
      </c>
      <c r="C55" t="s">
        <v>73</v>
      </c>
    </row>
    <row r="56" spans="3:7" ht="12.75">
      <c r="C56" t="s">
        <v>68</v>
      </c>
      <c r="D56" s="8" t="s">
        <v>62</v>
      </c>
      <c r="E56" s="9">
        <f>132.39*0.5</f>
        <v>66.195</v>
      </c>
      <c r="F56" s="9">
        <v>0</v>
      </c>
      <c r="G56" s="9">
        <f>E56*F56</f>
        <v>0</v>
      </c>
    </row>
    <row r="58" spans="1:3" ht="12.75">
      <c r="A58" s="8" t="s">
        <v>29</v>
      </c>
      <c r="B58" s="8" t="s">
        <v>74</v>
      </c>
      <c r="C58" t="s">
        <v>75</v>
      </c>
    </row>
    <row r="59" spans="3:7" ht="12.75">
      <c r="C59" t="s">
        <v>71</v>
      </c>
      <c r="D59" s="8" t="s">
        <v>62</v>
      </c>
      <c r="E59" s="9">
        <f>66.2*0.5</f>
        <v>33.1</v>
      </c>
      <c r="F59" s="9">
        <v>0</v>
      </c>
      <c r="G59" s="9">
        <f aca="true" t="shared" si="1" ref="G59:G68">E59*F59</f>
        <v>0</v>
      </c>
    </row>
    <row r="60" ht="12.75">
      <c r="G60" s="9">
        <f t="shared" si="1"/>
        <v>0</v>
      </c>
    </row>
    <row r="61" spans="2:7" ht="12.75">
      <c r="B61" s="8" t="s">
        <v>76</v>
      </c>
      <c r="C61" t="s">
        <v>77</v>
      </c>
      <c r="D61" s="8" t="s">
        <v>78</v>
      </c>
      <c r="E61" s="9">
        <v>1035</v>
      </c>
      <c r="F61" s="9">
        <v>0</v>
      </c>
      <c r="G61" s="9">
        <f t="shared" si="1"/>
        <v>0</v>
      </c>
    </row>
    <row r="62" ht="12.75">
      <c r="G62" s="9">
        <f t="shared" si="1"/>
        <v>0</v>
      </c>
    </row>
    <row r="63" spans="2:7" ht="12.75">
      <c r="B63" s="8" t="s">
        <v>76</v>
      </c>
      <c r="C63" t="s">
        <v>79</v>
      </c>
      <c r="D63" s="8" t="s">
        <v>78</v>
      </c>
      <c r="E63" s="9">
        <v>800</v>
      </c>
      <c r="F63" s="9">
        <v>0</v>
      </c>
      <c r="G63" s="9">
        <f t="shared" si="1"/>
        <v>0</v>
      </c>
    </row>
    <row r="64" ht="12.75">
      <c r="G64" s="9">
        <f t="shared" si="1"/>
        <v>0</v>
      </c>
    </row>
    <row r="65" spans="2:7" ht="12.75">
      <c r="B65" s="8" t="s">
        <v>80</v>
      </c>
      <c r="C65" t="s">
        <v>81</v>
      </c>
      <c r="D65" s="8" t="s">
        <v>78</v>
      </c>
      <c r="E65" s="9">
        <v>1835</v>
      </c>
      <c r="F65" s="9">
        <v>0</v>
      </c>
      <c r="G65" s="9">
        <f t="shared" si="1"/>
        <v>0</v>
      </c>
    </row>
    <row r="66" ht="12.75">
      <c r="G66" s="9">
        <f t="shared" si="1"/>
        <v>0</v>
      </c>
    </row>
    <row r="67" spans="2:7" ht="12.75">
      <c r="B67" s="8" t="s">
        <v>82</v>
      </c>
      <c r="C67" t="s">
        <v>83</v>
      </c>
      <c r="D67" s="8" t="s">
        <v>84</v>
      </c>
      <c r="E67" s="9">
        <v>98</v>
      </c>
      <c r="F67" s="9">
        <v>0</v>
      </c>
      <c r="G67" s="9">
        <f t="shared" si="1"/>
        <v>0</v>
      </c>
    </row>
    <row r="68" spans="2:7" ht="12.75">
      <c r="B68" s="8" t="s">
        <v>85</v>
      </c>
      <c r="C68" t="s">
        <v>86</v>
      </c>
      <c r="D68" s="8" t="s">
        <v>84</v>
      </c>
      <c r="E68" s="9">
        <v>176</v>
      </c>
      <c r="F68" s="9">
        <v>0</v>
      </c>
      <c r="G68" s="9">
        <f t="shared" si="1"/>
        <v>0</v>
      </c>
    </row>
    <row r="71" spans="1:3" ht="12.75">
      <c r="A71" s="8" t="s">
        <v>33</v>
      </c>
      <c r="B71" s="8" t="s">
        <v>87</v>
      </c>
      <c r="C71" t="s">
        <v>88</v>
      </c>
    </row>
    <row r="72" ht="12.75">
      <c r="C72" t="s">
        <v>89</v>
      </c>
    </row>
    <row r="73" ht="12.75">
      <c r="C73" t="s">
        <v>66</v>
      </c>
    </row>
    <row r="74" ht="12.75">
      <c r="C74" t="s">
        <v>90</v>
      </c>
    </row>
    <row r="75" spans="3:7" ht="12.75">
      <c r="C75" t="s">
        <v>91</v>
      </c>
      <c r="D75" s="8" t="s">
        <v>62</v>
      </c>
      <c r="E75" s="9">
        <f>(4.13*4.13+4.63*4.63)*0.5*0.5</f>
        <v>9.623449999999998</v>
      </c>
      <c r="F75" s="9">
        <v>0</v>
      </c>
      <c r="G75" s="9">
        <f>E75*F75</f>
        <v>0</v>
      </c>
    </row>
    <row r="77" spans="1:3" ht="12.75">
      <c r="A77" s="8" t="s">
        <v>37</v>
      </c>
      <c r="B77" s="8" t="s">
        <v>92</v>
      </c>
      <c r="C77" t="s">
        <v>93</v>
      </c>
    </row>
    <row r="78" ht="12.75">
      <c r="C78" t="s">
        <v>89</v>
      </c>
    </row>
    <row r="79" ht="12.75">
      <c r="C79" t="s">
        <v>94</v>
      </c>
    </row>
    <row r="80" ht="12.75">
      <c r="C80" t="s">
        <v>90</v>
      </c>
    </row>
    <row r="81" spans="3:7" ht="12.75">
      <c r="C81" t="s">
        <v>95</v>
      </c>
      <c r="D81" s="8" t="s">
        <v>62</v>
      </c>
      <c r="E81" s="9">
        <f>(1.08*1.08+4.13*4.13)*0.5*3.05</f>
        <v>27.790532499999994</v>
      </c>
      <c r="F81" s="9">
        <v>0</v>
      </c>
      <c r="G81" s="9">
        <f aca="true" t="shared" si="2" ref="G81:G86">E81*F81</f>
        <v>0</v>
      </c>
    </row>
    <row r="82" ht="12.75">
      <c r="G82" s="9">
        <f t="shared" si="2"/>
        <v>0</v>
      </c>
    </row>
    <row r="83" spans="1:7" ht="12.75">
      <c r="A83" s="15">
        <v>10</v>
      </c>
      <c r="B83" s="8" t="s">
        <v>96</v>
      </c>
      <c r="C83" t="s">
        <v>97</v>
      </c>
      <c r="D83" s="8" t="s">
        <v>62</v>
      </c>
      <c r="E83" s="9">
        <v>236</v>
      </c>
      <c r="F83" s="9">
        <v>0</v>
      </c>
      <c r="G83" s="9">
        <f t="shared" si="2"/>
        <v>0</v>
      </c>
    </row>
    <row r="84" ht="12.75">
      <c r="G84" s="9">
        <f t="shared" si="2"/>
        <v>0</v>
      </c>
    </row>
    <row r="85" ht="12.75">
      <c r="G85" s="9">
        <f t="shared" si="2"/>
        <v>0</v>
      </c>
    </row>
    <row r="86" spans="1:7" ht="12.75">
      <c r="A86" s="8">
        <v>11</v>
      </c>
      <c r="B86" s="8" t="s">
        <v>98</v>
      </c>
      <c r="C86" t="s">
        <v>99</v>
      </c>
      <c r="D86" s="8" t="s">
        <v>62</v>
      </c>
      <c r="E86" s="9">
        <v>37.41</v>
      </c>
      <c r="F86" s="9">
        <v>0</v>
      </c>
      <c r="G86" s="9">
        <f t="shared" si="2"/>
        <v>0</v>
      </c>
    </row>
    <row r="87" ht="12.75">
      <c r="B87" s="8" t="s">
        <v>100</v>
      </c>
    </row>
    <row r="88" spans="1:3" ht="12.75">
      <c r="A88" s="8" t="s">
        <v>101</v>
      </c>
      <c r="B88" s="8" t="s">
        <v>102</v>
      </c>
      <c r="C88" t="s">
        <v>103</v>
      </c>
    </row>
    <row r="89" spans="3:7" ht="12.75">
      <c r="C89" t="s">
        <v>104</v>
      </c>
      <c r="D89" s="8" t="s">
        <v>84</v>
      </c>
      <c r="E89" s="9">
        <f>1.08*1.08+(1.08+7.83)*0.5*7.55*4</f>
        <v>135.7074</v>
      </c>
      <c r="F89" s="9">
        <v>0</v>
      </c>
      <c r="G89" s="9">
        <f>E89*F89</f>
        <v>0</v>
      </c>
    </row>
    <row r="90" spans="2:7" ht="12.75">
      <c r="B90" s="8" t="s">
        <v>105</v>
      </c>
      <c r="G90" s="9">
        <f>E90*F90</f>
        <v>0</v>
      </c>
    </row>
    <row r="91" spans="1:7" ht="12.75">
      <c r="A91" s="8" t="s">
        <v>106</v>
      </c>
      <c r="B91" s="16">
        <v>589323100</v>
      </c>
      <c r="C91" t="s">
        <v>107</v>
      </c>
      <c r="D91" s="8" t="s">
        <v>62</v>
      </c>
      <c r="E91" s="9">
        <v>40.71</v>
      </c>
      <c r="F91" s="9">
        <v>0</v>
      </c>
      <c r="G91" s="9">
        <f>E91*F91</f>
        <v>0</v>
      </c>
    </row>
    <row r="92" spans="3:9" ht="12.75">
      <c r="C92" t="s">
        <v>108</v>
      </c>
      <c r="E92" s="17"/>
      <c r="G92" s="9">
        <f>E92*F92</f>
        <v>0</v>
      </c>
      <c r="H92">
        <v>2.234</v>
      </c>
      <c r="I92" s="9">
        <f>E92*H92</f>
        <v>0</v>
      </c>
    </row>
    <row r="93" spans="2:7" ht="12.75">
      <c r="B93" s="8" t="s">
        <v>52</v>
      </c>
      <c r="G93" s="9">
        <f>E93*F93</f>
        <v>0</v>
      </c>
    </row>
    <row r="94" spans="1:3" ht="12.75">
      <c r="A94" s="8" t="s">
        <v>109</v>
      </c>
      <c r="B94" s="8" t="s">
        <v>110</v>
      </c>
      <c r="C94" t="s">
        <v>111</v>
      </c>
    </row>
    <row r="95" spans="3:7" ht="12.75">
      <c r="C95" t="s">
        <v>112</v>
      </c>
      <c r="D95" s="8" t="s">
        <v>62</v>
      </c>
      <c r="E95" s="9">
        <f>497.79*0.55</f>
        <v>273.78450000000004</v>
      </c>
      <c r="F95" s="9">
        <v>0</v>
      </c>
      <c r="G95" s="9">
        <f>E95*F95</f>
        <v>0</v>
      </c>
    </row>
    <row r="97" spans="1:3" ht="12.75">
      <c r="A97" s="8" t="s">
        <v>113</v>
      </c>
      <c r="B97" s="8" t="s">
        <v>114</v>
      </c>
      <c r="C97" t="s">
        <v>115</v>
      </c>
    </row>
    <row r="98" spans="3:7" ht="12.75">
      <c r="C98" t="s">
        <v>116</v>
      </c>
      <c r="D98" s="8" t="s">
        <v>62</v>
      </c>
      <c r="E98" s="9">
        <f>(9.62+27.79)*0.4</f>
        <v>14.963999999999999</v>
      </c>
      <c r="F98" s="9">
        <v>0</v>
      </c>
      <c r="G98" s="9">
        <f>E98*F98</f>
        <v>0</v>
      </c>
    </row>
    <row r="100" spans="1:3" ht="12.75">
      <c r="A100" s="8" t="s">
        <v>117</v>
      </c>
      <c r="B100" s="8" t="s">
        <v>118</v>
      </c>
      <c r="C100" t="s">
        <v>119</v>
      </c>
    </row>
    <row r="101" ht="12.75">
      <c r="C101" t="s">
        <v>120</v>
      </c>
    </row>
    <row r="102" spans="3:7" ht="12.75">
      <c r="C102" t="s">
        <v>121</v>
      </c>
      <c r="D102" s="8" t="s">
        <v>62</v>
      </c>
      <c r="E102" s="9">
        <f>(16.1*13.35+10.6*10.6)*0.5*2.75</f>
        <v>450.03062500000004</v>
      </c>
      <c r="G102" s="9">
        <f>E102*F102</f>
        <v>0</v>
      </c>
    </row>
    <row r="103" spans="3:7" ht="12.75">
      <c r="C103" t="s">
        <v>122</v>
      </c>
      <c r="D103" s="8" t="s">
        <v>62</v>
      </c>
      <c r="E103" s="18">
        <f>9.6*9.6*1.25*-1+(9.6*9.6+7.83*7.83)*0.5*(2.75-1.25)*-1</f>
        <v>-230.301675</v>
      </c>
      <c r="G103" s="9">
        <f>E103*F103</f>
        <v>0</v>
      </c>
    </row>
    <row r="104" spans="4:6" ht="12.75">
      <c r="D104" s="8" t="s">
        <v>62</v>
      </c>
      <c r="E104" s="9">
        <f>SUM(E102:E103)</f>
        <v>219.72895000000005</v>
      </c>
      <c r="F104" s="9">
        <v>0</v>
      </c>
    </row>
    <row r="106" spans="1:3" ht="12.75">
      <c r="A106" s="8" t="s">
        <v>123</v>
      </c>
      <c r="B106" s="8" t="s">
        <v>124</v>
      </c>
      <c r="C106" t="s">
        <v>125</v>
      </c>
    </row>
    <row r="107" spans="3:7" ht="12.75">
      <c r="C107" t="s">
        <v>126</v>
      </c>
      <c r="D107" s="8" t="s">
        <v>84</v>
      </c>
      <c r="E107" s="9">
        <f>(10.6+16.1)*0.5*3.9*3</f>
        <v>156.19500000000002</v>
      </c>
      <c r="F107" s="9">
        <v>0</v>
      </c>
      <c r="G107" s="9">
        <f>E107*F107</f>
        <v>0</v>
      </c>
    </row>
    <row r="109" spans="1:3" ht="12.75">
      <c r="A109" s="8" t="s">
        <v>127</v>
      </c>
      <c r="B109" s="8" t="s">
        <v>128</v>
      </c>
      <c r="C109" t="s">
        <v>129</v>
      </c>
    </row>
    <row r="110" spans="3:7" ht="12.75">
      <c r="C110" t="s">
        <v>130</v>
      </c>
      <c r="D110" s="8" t="s">
        <v>84</v>
      </c>
      <c r="E110" s="9">
        <f>47.6/0.15-156.2</f>
        <v>161.13333333333338</v>
      </c>
      <c r="F110" s="9">
        <v>0</v>
      </c>
      <c r="G110" s="9">
        <f>E110*F110</f>
        <v>0</v>
      </c>
    </row>
    <row r="112" spans="1:7" ht="12.75">
      <c r="A112" s="8" t="s">
        <v>131</v>
      </c>
      <c r="B112" s="8" t="s">
        <v>132</v>
      </c>
      <c r="C112" t="s">
        <v>133</v>
      </c>
      <c r="D112" s="8" t="s">
        <v>84</v>
      </c>
      <c r="E112" s="9">
        <v>156.2</v>
      </c>
      <c r="F112" s="9">
        <v>0</v>
      </c>
      <c r="G112" s="9">
        <f>E112*F112</f>
        <v>0</v>
      </c>
    </row>
    <row r="114" spans="1:7" ht="12.75">
      <c r="A114" s="8" t="s">
        <v>134</v>
      </c>
      <c r="B114" s="8" t="s">
        <v>135</v>
      </c>
      <c r="C114" t="s">
        <v>136</v>
      </c>
      <c r="D114" s="8" t="s">
        <v>84</v>
      </c>
      <c r="E114" s="9">
        <v>156.2</v>
      </c>
      <c r="F114" s="9">
        <v>0</v>
      </c>
      <c r="G114" s="9">
        <f aca="true" t="shared" si="3" ref="G114:G121">E114*F114</f>
        <v>0</v>
      </c>
    </row>
    <row r="115" ht="12.75">
      <c r="G115" s="9">
        <f t="shared" si="3"/>
        <v>0</v>
      </c>
    </row>
    <row r="116" spans="1:7" ht="12.75">
      <c r="A116" s="8" t="s">
        <v>137</v>
      </c>
      <c r="B116" s="8" t="s">
        <v>138</v>
      </c>
      <c r="C116" t="s">
        <v>139</v>
      </c>
      <c r="G116" s="9">
        <f t="shared" si="3"/>
        <v>0</v>
      </c>
    </row>
    <row r="117" spans="3:7" ht="12.75">
      <c r="C117" t="s">
        <v>140</v>
      </c>
      <c r="D117" s="8" t="s">
        <v>62</v>
      </c>
      <c r="E117" s="9">
        <v>47.6</v>
      </c>
      <c r="F117" s="9">
        <v>0</v>
      </c>
      <c r="G117" s="9">
        <f t="shared" si="3"/>
        <v>0</v>
      </c>
    </row>
    <row r="118" spans="3:7" ht="12.75">
      <c r="C118" t="s">
        <v>141</v>
      </c>
      <c r="G118" s="9">
        <f t="shared" si="3"/>
        <v>0</v>
      </c>
    </row>
    <row r="119" spans="3:7" ht="12.75">
      <c r="C119" t="s">
        <v>142</v>
      </c>
      <c r="D119" s="8" t="s">
        <v>62</v>
      </c>
      <c r="E119" s="9">
        <f>132.39*2</f>
        <v>264.78</v>
      </c>
      <c r="F119" s="9">
        <v>0</v>
      </c>
      <c r="G119" s="9">
        <f t="shared" si="3"/>
        <v>0</v>
      </c>
    </row>
    <row r="120" spans="3:7" ht="12.75">
      <c r="C120" t="s">
        <v>143</v>
      </c>
      <c r="G120" s="9">
        <f t="shared" si="3"/>
        <v>0</v>
      </c>
    </row>
    <row r="121" spans="3:7" ht="12.75">
      <c r="C121" t="s">
        <v>144</v>
      </c>
      <c r="D121" s="8" t="s">
        <v>62</v>
      </c>
      <c r="E121" s="19">
        <f>74.96-59.33</f>
        <v>15.629999999999995</v>
      </c>
      <c r="F121" s="9">
        <v>0</v>
      </c>
      <c r="G121" s="9">
        <f t="shared" si="3"/>
        <v>0</v>
      </c>
    </row>
    <row r="122" ht="12.75">
      <c r="E122" s="19"/>
    </row>
    <row r="123" spans="3:5" ht="12.75">
      <c r="C123" t="s">
        <v>145</v>
      </c>
      <c r="E123" s="19"/>
    </row>
    <row r="124" spans="3:7" ht="12.75">
      <c r="C124" t="s">
        <v>146</v>
      </c>
      <c r="D124" s="8" t="s">
        <v>62</v>
      </c>
      <c r="E124" s="18">
        <f>30.49-16.21</f>
        <v>14.279999999999998</v>
      </c>
      <c r="G124" s="9">
        <f>E124*F124</f>
        <v>0</v>
      </c>
    </row>
    <row r="125" spans="4:6" ht="12.75">
      <c r="D125" s="8" t="s">
        <v>62</v>
      </c>
      <c r="E125" s="9">
        <f>SUM(E117:E124)</f>
        <v>342.28999999999996</v>
      </c>
      <c r="F125" s="9">
        <v>0</v>
      </c>
    </row>
    <row r="127" spans="1:3" ht="12.75">
      <c r="A127" s="8" t="s">
        <v>147</v>
      </c>
      <c r="B127" s="8" t="s">
        <v>148</v>
      </c>
      <c r="C127" t="s">
        <v>149</v>
      </c>
    </row>
    <row r="128" ht="12.75">
      <c r="C128" t="s">
        <v>150</v>
      </c>
    </row>
    <row r="129" spans="3:7" ht="12.75">
      <c r="C129" t="s">
        <v>151</v>
      </c>
      <c r="D129" s="8" t="s">
        <v>62</v>
      </c>
      <c r="E129" s="9">
        <f>(9.62+27.79)*2</f>
        <v>74.82</v>
      </c>
      <c r="F129" s="9">
        <v>0</v>
      </c>
      <c r="G129" s="9">
        <f>E129*F129</f>
        <v>0</v>
      </c>
    </row>
    <row r="131" spans="1:7" ht="12.75">
      <c r="A131" s="8" t="s">
        <v>152</v>
      </c>
      <c r="B131" s="8" t="s">
        <v>153</v>
      </c>
      <c r="C131" t="s">
        <v>154</v>
      </c>
      <c r="G131" s="20"/>
    </row>
    <row r="132" spans="3:7" ht="12.75">
      <c r="C132" t="s">
        <v>155</v>
      </c>
      <c r="G132" s="20"/>
    </row>
    <row r="133" spans="3:7" ht="12.75">
      <c r="C133" t="s">
        <v>156</v>
      </c>
      <c r="D133" s="8" t="s">
        <v>62</v>
      </c>
      <c r="E133" s="9">
        <f>219.73-132.39-15.63-14.28-9.62-27.79</f>
        <v>20.02000000000001</v>
      </c>
      <c r="F133" s="9">
        <v>0</v>
      </c>
      <c r="G133" s="20">
        <f>E133*F133</f>
        <v>0</v>
      </c>
    </row>
    <row r="135" spans="1:9" ht="12.75">
      <c r="A135" s="8" t="s">
        <v>157</v>
      </c>
      <c r="B135" s="8" t="s">
        <v>158</v>
      </c>
      <c r="C135" t="s">
        <v>159</v>
      </c>
      <c r="G135" s="20"/>
      <c r="I135" s="20"/>
    </row>
    <row r="136" spans="3:9" ht="12.75">
      <c r="C136" t="s">
        <v>160</v>
      </c>
      <c r="D136" s="8" t="s">
        <v>62</v>
      </c>
      <c r="E136" s="9">
        <f>20.02*5</f>
        <v>100.1</v>
      </c>
      <c r="F136" s="9">
        <v>0</v>
      </c>
      <c r="G136" s="20">
        <f>E136*F136</f>
        <v>0</v>
      </c>
      <c r="I136" s="20"/>
    </row>
    <row r="138" spans="1:3" ht="12.75">
      <c r="A138" s="8" t="s">
        <v>161</v>
      </c>
      <c r="B138" s="8" t="s">
        <v>162</v>
      </c>
      <c r="C138" t="s">
        <v>163</v>
      </c>
    </row>
    <row r="139" spans="3:7" ht="12.75">
      <c r="C139" t="s">
        <v>164</v>
      </c>
      <c r="D139" s="8" t="s">
        <v>62</v>
      </c>
      <c r="E139" s="9">
        <v>47.6</v>
      </c>
      <c r="G139" s="20">
        <f>E139*F139</f>
        <v>0</v>
      </c>
    </row>
    <row r="140" spans="3:7" ht="12.75">
      <c r="C140" t="s">
        <v>165</v>
      </c>
      <c r="D140" s="8" t="s">
        <v>62</v>
      </c>
      <c r="E140" s="18">
        <v>20.02</v>
      </c>
      <c r="G140" s="20">
        <f>E140*F140</f>
        <v>0</v>
      </c>
    </row>
    <row r="141" spans="4:6" ht="12.75">
      <c r="D141" s="8" t="s">
        <v>62</v>
      </c>
      <c r="E141" s="9">
        <f>SUM(E139:E140)</f>
        <v>67.62</v>
      </c>
      <c r="F141" s="9">
        <v>0</v>
      </c>
    </row>
    <row r="143" spans="1:3" ht="12.75">
      <c r="A143" s="8" t="s">
        <v>166</v>
      </c>
      <c r="B143" s="8" t="s">
        <v>167</v>
      </c>
      <c r="C143" t="s">
        <v>168</v>
      </c>
    </row>
    <row r="144" spans="3:7" ht="12.75">
      <c r="C144" t="s">
        <v>169</v>
      </c>
      <c r="D144" s="8" t="s">
        <v>62</v>
      </c>
      <c r="E144" s="9">
        <v>132.39</v>
      </c>
      <c r="G144" s="20">
        <f>E144*F144</f>
        <v>0</v>
      </c>
    </row>
    <row r="145" spans="3:7" ht="12.75">
      <c r="C145" t="s">
        <v>143</v>
      </c>
      <c r="D145" s="8" t="s">
        <v>62</v>
      </c>
      <c r="E145" s="19">
        <v>15.63</v>
      </c>
      <c r="G145" s="20">
        <f>E145*F145</f>
        <v>0</v>
      </c>
    </row>
    <row r="146" spans="3:7" ht="12.75">
      <c r="C146" t="s">
        <v>145</v>
      </c>
      <c r="D146" s="8" t="s">
        <v>62</v>
      </c>
      <c r="E146" s="18">
        <v>14.28</v>
      </c>
      <c r="G146" s="20">
        <f>E146*F146</f>
        <v>0</v>
      </c>
    </row>
    <row r="147" spans="4:6" ht="12.75">
      <c r="D147" s="8" t="s">
        <v>62</v>
      </c>
      <c r="E147" s="9">
        <f>SUM(E144:E146)</f>
        <v>162.29999999999998</v>
      </c>
      <c r="F147" s="9">
        <v>0</v>
      </c>
    </row>
    <row r="149" spans="1:3" ht="12.75">
      <c r="A149" s="8" t="s">
        <v>170</v>
      </c>
      <c r="B149" s="8" t="s">
        <v>171</v>
      </c>
      <c r="C149" t="s">
        <v>172</v>
      </c>
    </row>
    <row r="150" ht="12.75">
      <c r="C150" t="s">
        <v>169</v>
      </c>
    </row>
    <row r="151" spans="3:7" ht="12.75">
      <c r="C151" t="s">
        <v>173</v>
      </c>
      <c r="D151" s="8" t="s">
        <v>62</v>
      </c>
      <c r="E151" s="9">
        <f>9.62+27.79</f>
        <v>37.41</v>
      </c>
      <c r="F151" s="9">
        <v>0</v>
      </c>
      <c r="G151" s="9">
        <f>E151*F151</f>
        <v>0</v>
      </c>
    </row>
    <row r="152" spans="2:9" ht="12.75">
      <c r="B152" s="8" t="s">
        <v>174</v>
      </c>
      <c r="G152" s="20"/>
      <c r="I152" s="20"/>
    </row>
    <row r="153" spans="1:9" ht="12.75">
      <c r="A153" s="8" t="s">
        <v>175</v>
      </c>
      <c r="B153" s="8" t="s">
        <v>176</v>
      </c>
      <c r="C153" t="s">
        <v>177</v>
      </c>
      <c r="D153" s="8" t="s">
        <v>84</v>
      </c>
      <c r="E153" s="9">
        <v>161.13</v>
      </c>
      <c r="F153" s="9">
        <v>0</v>
      </c>
      <c r="G153" s="20">
        <f>E153*F153</f>
        <v>0</v>
      </c>
      <c r="I153" s="20"/>
    </row>
    <row r="154" spans="7:9" ht="12.75">
      <c r="G154" s="20"/>
      <c r="I154" s="20"/>
    </row>
    <row r="155" spans="1:9" ht="12.75">
      <c r="A155" s="8" t="s">
        <v>178</v>
      </c>
      <c r="B155" s="8" t="s">
        <v>179</v>
      </c>
      <c r="C155" t="s">
        <v>180</v>
      </c>
      <c r="D155" s="8" t="s">
        <v>84</v>
      </c>
      <c r="E155" s="9">
        <v>156.2</v>
      </c>
      <c r="F155" s="9">
        <v>0</v>
      </c>
      <c r="G155" s="20">
        <f>E155*F155</f>
        <v>0</v>
      </c>
      <c r="I155" s="20"/>
    </row>
    <row r="156" spans="7:9" ht="12.75">
      <c r="G156" s="20"/>
      <c r="I156" s="20"/>
    </row>
    <row r="157" spans="1:9" ht="12.75">
      <c r="A157" s="8" t="s">
        <v>181</v>
      </c>
      <c r="C157" t="s">
        <v>182</v>
      </c>
      <c r="G157" s="20"/>
      <c r="I157" s="20"/>
    </row>
    <row r="158" spans="3:9" ht="12.75">
      <c r="C158" t="s">
        <v>183</v>
      </c>
      <c r="D158" s="8" t="s">
        <v>184</v>
      </c>
      <c r="E158" s="9">
        <f>(1.61+1.56)*3*1.05</f>
        <v>9.9855</v>
      </c>
      <c r="F158" s="9">
        <v>0</v>
      </c>
      <c r="G158" s="20">
        <f>E158*F158</f>
        <v>0</v>
      </c>
      <c r="H158">
        <v>0.001</v>
      </c>
      <c r="I158" s="9">
        <f>E158*H158</f>
        <v>0.0099855</v>
      </c>
    </row>
    <row r="159" spans="1:9" ht="12.75">
      <c r="A159" s="8" t="s">
        <v>185</v>
      </c>
      <c r="B159" s="8" t="s">
        <v>186</v>
      </c>
      <c r="C159" t="s">
        <v>187</v>
      </c>
      <c r="D159" s="8" t="s">
        <v>84</v>
      </c>
      <c r="E159" s="9">
        <v>161.13</v>
      </c>
      <c r="F159" s="9">
        <v>0</v>
      </c>
      <c r="G159" s="20">
        <f>E159*F159</f>
        <v>0</v>
      </c>
      <c r="I159" s="20"/>
    </row>
    <row r="160" spans="7:9" ht="12.75">
      <c r="G160" s="20"/>
      <c r="I160" s="20"/>
    </row>
    <row r="161" spans="1:9" ht="12.75">
      <c r="A161" s="8" t="s">
        <v>188</v>
      </c>
      <c r="B161" s="8" t="s">
        <v>189</v>
      </c>
      <c r="C161" t="s">
        <v>190</v>
      </c>
      <c r="D161" s="8" t="s">
        <v>84</v>
      </c>
      <c r="E161" s="9">
        <v>156.2</v>
      </c>
      <c r="F161" s="9">
        <v>0</v>
      </c>
      <c r="G161" s="20">
        <f>E161*F161</f>
        <v>0</v>
      </c>
      <c r="I161" s="20"/>
    </row>
    <row r="162" spans="7:9" ht="12.75">
      <c r="G162" s="20"/>
      <c r="I162" s="20"/>
    </row>
    <row r="163" spans="1:9" ht="12.75">
      <c r="A163" s="8" t="s">
        <v>191</v>
      </c>
      <c r="B163" s="8" t="s">
        <v>192</v>
      </c>
      <c r="C163" t="s">
        <v>193</v>
      </c>
      <c r="G163" s="20"/>
      <c r="I163" s="20"/>
    </row>
    <row r="164" spans="3:9" ht="12.75">
      <c r="C164" t="s">
        <v>194</v>
      </c>
      <c r="G164" s="20"/>
      <c r="I164" s="20"/>
    </row>
    <row r="165" spans="3:9" ht="12.75">
      <c r="C165" t="s">
        <v>195</v>
      </c>
      <c r="D165" s="8" t="s">
        <v>62</v>
      </c>
      <c r="E165" s="9">
        <f>0.02*(161.13+156.2)</f>
        <v>6.3466</v>
      </c>
      <c r="F165" s="9">
        <v>0</v>
      </c>
      <c r="G165" s="21">
        <f>E165*F165</f>
        <v>0</v>
      </c>
      <c r="I165" s="21"/>
    </row>
    <row r="166" spans="3:9" ht="12.75">
      <c r="C166" s="3" t="s">
        <v>8</v>
      </c>
      <c r="G166" s="22">
        <f>SUM(G38:G165)</f>
        <v>0</v>
      </c>
      <c r="I166" s="9">
        <f>SUM(I38:I165)</f>
        <v>0.0099855</v>
      </c>
    </row>
    <row r="168" spans="2:3" ht="12.75">
      <c r="B168" s="8" t="s">
        <v>100</v>
      </c>
      <c r="C168" s="2" t="s">
        <v>20</v>
      </c>
    </row>
    <row r="170" spans="1:3" ht="12.75">
      <c r="A170" s="8" t="s">
        <v>17</v>
      </c>
      <c r="B170" s="8" t="s">
        <v>196</v>
      </c>
      <c r="C170" t="s">
        <v>197</v>
      </c>
    </row>
    <row r="171" spans="3:9" ht="12.75">
      <c r="C171" t="s">
        <v>198</v>
      </c>
      <c r="D171" s="8" t="s">
        <v>62</v>
      </c>
      <c r="E171" s="9">
        <f>1.08*1.08*0.15</f>
        <v>0.17496</v>
      </c>
      <c r="F171" s="9">
        <v>0</v>
      </c>
      <c r="G171" s="20">
        <f>E171*F171</f>
        <v>0</v>
      </c>
      <c r="H171">
        <v>2.16</v>
      </c>
      <c r="I171" s="9">
        <f>E171*H171</f>
        <v>0.3779136</v>
      </c>
    </row>
    <row r="173" spans="1:3" ht="12.75">
      <c r="A173" s="8" t="s">
        <v>19</v>
      </c>
      <c r="B173" s="8" t="s">
        <v>199</v>
      </c>
      <c r="C173" t="s">
        <v>200</v>
      </c>
    </row>
    <row r="174" ht="12.75">
      <c r="C174" t="s">
        <v>201</v>
      </c>
    </row>
    <row r="175" spans="3:9" ht="12.75">
      <c r="C175" t="s">
        <v>202</v>
      </c>
      <c r="D175" s="8" t="s">
        <v>78</v>
      </c>
      <c r="E175" s="9">
        <f>6.5*0.5</f>
        <v>3.25</v>
      </c>
      <c r="F175" s="9">
        <v>0</v>
      </c>
      <c r="G175" s="20">
        <f>E175*F175</f>
        <v>0</v>
      </c>
      <c r="H175">
        <v>0.00038</v>
      </c>
      <c r="I175" s="9">
        <f>E175*H175</f>
        <v>0.001235</v>
      </c>
    </row>
    <row r="177" spans="1:3" ht="12.75">
      <c r="A177" s="8" t="s">
        <v>21</v>
      </c>
      <c r="B177" s="8" t="s">
        <v>203</v>
      </c>
      <c r="C177" t="s">
        <v>204</v>
      </c>
    </row>
    <row r="178" ht="12.75">
      <c r="C178" t="s">
        <v>201</v>
      </c>
    </row>
    <row r="179" spans="3:9" ht="12.75">
      <c r="C179" t="s">
        <v>202</v>
      </c>
      <c r="D179" s="8" t="s">
        <v>78</v>
      </c>
      <c r="E179" s="9">
        <f>6.5*0.5</f>
        <v>3.25</v>
      </c>
      <c r="F179" s="9">
        <v>0</v>
      </c>
      <c r="G179" s="20">
        <f>E179*F179</f>
        <v>0</v>
      </c>
      <c r="H179">
        <v>0.0009</v>
      </c>
      <c r="I179" s="9">
        <f>E179*H179</f>
        <v>0.002925</v>
      </c>
    </row>
    <row r="181" spans="1:7" ht="12.75">
      <c r="A181" s="8" t="s">
        <v>23</v>
      </c>
      <c r="B181" s="8" t="s">
        <v>205</v>
      </c>
      <c r="C181" t="s">
        <v>206</v>
      </c>
      <c r="D181" s="8" t="s">
        <v>78</v>
      </c>
      <c r="E181" s="9">
        <v>6.5</v>
      </c>
      <c r="F181" s="9">
        <v>0</v>
      </c>
      <c r="G181" s="20">
        <f>E181*F181</f>
        <v>0</v>
      </c>
    </row>
    <row r="183" spans="1:7" ht="12.75">
      <c r="A183" s="8" t="s">
        <v>25</v>
      </c>
      <c r="B183" s="8" t="s">
        <v>207</v>
      </c>
      <c r="C183" t="s">
        <v>208</v>
      </c>
      <c r="D183" s="8" t="s">
        <v>78</v>
      </c>
      <c r="E183" s="9">
        <v>6.5</v>
      </c>
      <c r="F183" s="9">
        <v>0</v>
      </c>
      <c r="G183" s="20">
        <f>E183*F183</f>
        <v>0</v>
      </c>
    </row>
    <row r="184" ht="12.75">
      <c r="B184" s="8" t="s">
        <v>105</v>
      </c>
    </row>
    <row r="185" spans="1:3" ht="12.75">
      <c r="A185" s="8" t="s">
        <v>27</v>
      </c>
      <c r="B185" s="16">
        <v>583313450</v>
      </c>
      <c r="C185" t="s">
        <v>209</v>
      </c>
    </row>
    <row r="186" spans="3:9" ht="12.75">
      <c r="C186" t="s">
        <v>210</v>
      </c>
      <c r="D186" s="8" t="s">
        <v>36</v>
      </c>
      <c r="E186" s="9">
        <f>0.1*0.1*3.14*1.15*1.67*6.5</f>
        <v>0.39197405</v>
      </c>
      <c r="F186" s="9">
        <v>0</v>
      </c>
      <c r="G186" s="21">
        <f>E186*F186</f>
        <v>0</v>
      </c>
      <c r="H186">
        <v>1</v>
      </c>
      <c r="I186" s="21">
        <f>E186*H186</f>
        <v>0.39197405</v>
      </c>
    </row>
    <row r="187" spans="3:9" ht="12.75">
      <c r="C187" s="3" t="s">
        <v>8</v>
      </c>
      <c r="G187" s="22">
        <f>SUM(G171:G186)</f>
        <v>0</v>
      </c>
      <c r="I187" s="9">
        <f>SUM(I171:I186)</f>
        <v>0.77404765</v>
      </c>
    </row>
    <row r="189" spans="2:3" ht="12.75">
      <c r="B189" s="8" t="s">
        <v>31</v>
      </c>
      <c r="C189" s="2" t="s">
        <v>22</v>
      </c>
    </row>
    <row r="191" spans="1:3" ht="12.75">
      <c r="A191" s="8" t="s">
        <v>17</v>
      </c>
      <c r="B191" s="8" t="s">
        <v>211</v>
      </c>
      <c r="C191" t="s">
        <v>212</v>
      </c>
    </row>
    <row r="192" ht="12.75">
      <c r="C192" t="s">
        <v>213</v>
      </c>
    </row>
    <row r="193" spans="3:7" ht="12.75">
      <c r="C193" t="s">
        <v>214</v>
      </c>
      <c r="D193" s="8" t="s">
        <v>62</v>
      </c>
      <c r="E193" s="9">
        <f>0.4*1.25*(9.6+8.8)*2+1.08*1.08*0.4</f>
        <v>18.86656</v>
      </c>
      <c r="G193" s="20">
        <f>E193*F193</f>
        <v>0</v>
      </c>
    </row>
    <row r="195" spans="3:7" ht="12.75">
      <c r="C195" t="s">
        <v>215</v>
      </c>
      <c r="D195" s="8" t="s">
        <v>62</v>
      </c>
      <c r="E195" s="18">
        <f>0.4*(1.08+9.6)*0.5*8.55*4</f>
        <v>73.05120000000001</v>
      </c>
      <c r="G195" s="20">
        <f>E195*F195</f>
        <v>0</v>
      </c>
    </row>
    <row r="196" spans="4:9" ht="12.75">
      <c r="D196" s="8" t="s">
        <v>62</v>
      </c>
      <c r="E196" s="9">
        <f>SUM(E193:E195)</f>
        <v>91.91776000000002</v>
      </c>
      <c r="F196" s="9">
        <v>0</v>
      </c>
      <c r="G196" s="20">
        <f>E196*F196</f>
        <v>0</v>
      </c>
      <c r="H196">
        <v>2.50745</v>
      </c>
      <c r="I196" s="9">
        <f>E196*H196</f>
        <v>230.47918731200002</v>
      </c>
    </row>
    <row r="197" spans="1:7" ht="12.75">
      <c r="A197" s="23" t="s">
        <v>216</v>
      </c>
      <c r="B197" s="8" t="s">
        <v>217</v>
      </c>
      <c r="C197" t="s">
        <v>218</v>
      </c>
      <c r="D197" s="8" t="s">
        <v>78</v>
      </c>
      <c r="E197" s="9">
        <v>88</v>
      </c>
      <c r="F197" s="9">
        <v>0</v>
      </c>
      <c r="G197" s="20">
        <f>E197*F197</f>
        <v>0</v>
      </c>
    </row>
    <row r="198" spans="1:3" ht="12.75">
      <c r="A198" s="8" t="s">
        <v>21</v>
      </c>
      <c r="B198" s="8" t="s">
        <v>219</v>
      </c>
      <c r="C198" t="s">
        <v>220</v>
      </c>
    </row>
    <row r="199" ht="12.75">
      <c r="C199" t="s">
        <v>221</v>
      </c>
    </row>
    <row r="200" spans="3:7" ht="12.75">
      <c r="C200" t="s">
        <v>222</v>
      </c>
      <c r="D200" s="8" t="s">
        <v>84</v>
      </c>
      <c r="E200" s="9">
        <f>1.25*9.6*4+1.25*8.8*4+(7.83+9.6)*0.5*1.7*4</f>
        <v>151.262</v>
      </c>
      <c r="G200" s="20">
        <f>E200*F200</f>
        <v>0</v>
      </c>
    </row>
    <row r="201" spans="3:7" ht="12.75">
      <c r="C201" t="s">
        <v>223</v>
      </c>
      <c r="D201" s="8" t="s">
        <v>84</v>
      </c>
      <c r="E201" s="18">
        <f>(0.6+8.8)*0.5*8.55*4</f>
        <v>160.74</v>
      </c>
      <c r="G201" s="20">
        <f>E201*F201</f>
        <v>0</v>
      </c>
    </row>
    <row r="202" spans="4:9" ht="12.75">
      <c r="D202" s="8" t="s">
        <v>84</v>
      </c>
      <c r="E202" s="9">
        <f>SUM(E200:E201)</f>
        <v>312.002</v>
      </c>
      <c r="F202" s="9">
        <v>0</v>
      </c>
      <c r="G202" s="20"/>
      <c r="H202">
        <v>0.00263</v>
      </c>
      <c r="I202" s="9">
        <f>E202*H202</f>
        <v>0.82056526</v>
      </c>
    </row>
    <row r="204" spans="1:3" ht="12.75">
      <c r="A204" s="8" t="s">
        <v>23</v>
      </c>
      <c r="B204" s="8" t="s">
        <v>224</v>
      </c>
      <c r="C204" t="s">
        <v>220</v>
      </c>
    </row>
    <row r="205" spans="3:7" ht="12.75">
      <c r="C205" t="s">
        <v>225</v>
      </c>
      <c r="D205" s="8" t="s">
        <v>84</v>
      </c>
      <c r="E205" s="9">
        <v>312</v>
      </c>
      <c r="F205" s="9">
        <v>0</v>
      </c>
      <c r="G205" s="20">
        <f>E205*F205</f>
        <v>0</v>
      </c>
    </row>
    <row r="207" spans="1:9" ht="12.75">
      <c r="A207" s="8" t="s">
        <v>25</v>
      </c>
      <c r="B207" s="8" t="s">
        <v>226</v>
      </c>
      <c r="C207" t="s">
        <v>227</v>
      </c>
      <c r="D207" s="8" t="s">
        <v>36</v>
      </c>
      <c r="E207" s="9">
        <v>6.613</v>
      </c>
      <c r="F207" s="9">
        <v>0</v>
      </c>
      <c r="G207" s="21">
        <f>E207*F207</f>
        <v>0</v>
      </c>
      <c r="H207">
        <v>1.08209</v>
      </c>
      <c r="I207" s="21">
        <f>E207*H207</f>
        <v>7.1558611700000005</v>
      </c>
    </row>
    <row r="208" spans="3:9" ht="12.75">
      <c r="C208" s="3" t="s">
        <v>8</v>
      </c>
      <c r="G208" s="22">
        <f>SUM(G196:G207)</f>
        <v>0</v>
      </c>
      <c r="I208" s="9">
        <f>SUM(I196:I207)</f>
        <v>238.45561374200003</v>
      </c>
    </row>
    <row r="210" spans="2:3" ht="12.75">
      <c r="B210" s="8" t="s">
        <v>228</v>
      </c>
      <c r="C210" s="2" t="s">
        <v>24</v>
      </c>
    </row>
    <row r="212" spans="1:3" ht="12.75">
      <c r="A212" s="8" t="s">
        <v>17</v>
      </c>
      <c r="B212" s="8" t="s">
        <v>229</v>
      </c>
      <c r="C212" t="s">
        <v>230</v>
      </c>
    </row>
    <row r="213" ht="12.75">
      <c r="C213" t="s">
        <v>231</v>
      </c>
    </row>
    <row r="214" ht="12.75">
      <c r="C214" t="s">
        <v>232</v>
      </c>
    </row>
    <row r="215" spans="3:9" ht="12.75">
      <c r="C215" t="s">
        <v>233</v>
      </c>
      <c r="D215" s="8" t="s">
        <v>84</v>
      </c>
      <c r="E215" s="9">
        <f>(7.83+9.6)*0.5*1.7*4</f>
        <v>59.262</v>
      </c>
      <c r="F215" s="9">
        <v>0</v>
      </c>
      <c r="G215" s="20">
        <f>E215*F215</f>
        <v>0</v>
      </c>
      <c r="H215">
        <v>0.0063</v>
      </c>
      <c r="I215" s="9">
        <f>E215*H215</f>
        <v>0.37335060000000003</v>
      </c>
    </row>
    <row r="217" spans="1:3" ht="12.75">
      <c r="A217" s="8" t="s">
        <v>19</v>
      </c>
      <c r="B217" s="8" t="s">
        <v>234</v>
      </c>
      <c r="C217" t="s">
        <v>230</v>
      </c>
    </row>
    <row r="218" ht="12.75">
      <c r="C218" t="s">
        <v>231</v>
      </c>
    </row>
    <row r="219" ht="12.75">
      <c r="C219" t="s">
        <v>235</v>
      </c>
    </row>
    <row r="220" spans="3:9" ht="12.75">
      <c r="C220" t="s">
        <v>236</v>
      </c>
      <c r="D220" s="8" t="s">
        <v>84</v>
      </c>
      <c r="E220" s="9">
        <f>1.25*9.6*4</f>
        <v>48</v>
      </c>
      <c r="F220" s="9">
        <v>0</v>
      </c>
      <c r="G220" s="20">
        <f>E220*F220</f>
        <v>0</v>
      </c>
      <c r="H220">
        <v>0.0063</v>
      </c>
      <c r="I220" s="9">
        <f>E220*H220</f>
        <v>0.3024</v>
      </c>
    </row>
    <row r="222" spans="1:3" ht="12.75">
      <c r="A222" s="8" t="s">
        <v>21</v>
      </c>
      <c r="B222" s="8" t="s">
        <v>237</v>
      </c>
      <c r="C222" t="s">
        <v>238</v>
      </c>
    </row>
    <row r="223" ht="12.75">
      <c r="C223" t="s">
        <v>239</v>
      </c>
    </row>
    <row r="224" spans="3:9" ht="12.75">
      <c r="C224" t="s">
        <v>240</v>
      </c>
      <c r="D224" s="8" t="s">
        <v>62</v>
      </c>
      <c r="E224" s="9">
        <f>0.6*(9.6+10.6)*2*0.15</f>
        <v>3.6359999999999997</v>
      </c>
      <c r="F224" s="9">
        <v>0</v>
      </c>
      <c r="G224" s="20">
        <f>E224*F224</f>
        <v>0</v>
      </c>
      <c r="H224">
        <v>1.837</v>
      </c>
      <c r="I224" s="9">
        <f>E224*H224</f>
        <v>6.679332</v>
      </c>
    </row>
    <row r="226" spans="1:3" ht="12.75">
      <c r="A226" s="8" t="s">
        <v>23</v>
      </c>
      <c r="B226" s="8" t="s">
        <v>241</v>
      </c>
      <c r="C226" t="s">
        <v>242</v>
      </c>
    </row>
    <row r="227" spans="3:9" ht="12.75">
      <c r="C227" t="s">
        <v>243</v>
      </c>
      <c r="D227" s="8" t="s">
        <v>84</v>
      </c>
      <c r="E227" s="9">
        <f>0.5*(9.6+10.6)*2</f>
        <v>20.2</v>
      </c>
      <c r="F227" s="9">
        <v>0</v>
      </c>
      <c r="G227" s="21">
        <f>E227*F227</f>
        <v>0</v>
      </c>
      <c r="H227">
        <v>0.28362</v>
      </c>
      <c r="I227" s="21">
        <f>E227*H227</f>
        <v>5.729124</v>
      </c>
    </row>
    <row r="228" spans="3:9" ht="12.75">
      <c r="C228" s="3" t="s">
        <v>8</v>
      </c>
      <c r="G228" s="22">
        <f>SUM(G214:G227)</f>
        <v>0</v>
      </c>
      <c r="I228" s="9">
        <f>SUM(I215:I227)</f>
        <v>13.084206599999998</v>
      </c>
    </row>
    <row r="231" spans="2:3" ht="12.75">
      <c r="B231" s="8" t="s">
        <v>31</v>
      </c>
      <c r="C231" s="2" t="s">
        <v>26</v>
      </c>
    </row>
    <row r="233" spans="1:3" ht="12.75">
      <c r="A233" s="24" t="s">
        <v>17</v>
      </c>
      <c r="B233" s="8" t="s">
        <v>244</v>
      </c>
      <c r="C233" t="s">
        <v>245</v>
      </c>
    </row>
    <row r="234" spans="3:9" ht="12.75">
      <c r="C234" t="s">
        <v>246</v>
      </c>
      <c r="D234" s="8" t="s">
        <v>84</v>
      </c>
      <c r="E234" s="9">
        <f>9.6*9.6</f>
        <v>92.16</v>
      </c>
      <c r="F234" s="9">
        <v>0</v>
      </c>
      <c r="G234" s="9">
        <f>E234*F234</f>
        <v>0</v>
      </c>
      <c r="H234">
        <v>1E-05</v>
      </c>
      <c r="I234" s="9">
        <f>E234*H234</f>
        <v>0.0009216000000000001</v>
      </c>
    </row>
    <row r="236" spans="1:9" ht="12.75">
      <c r="A236" s="8" t="s">
        <v>19</v>
      </c>
      <c r="B236" s="8" t="s">
        <v>247</v>
      </c>
      <c r="C236" t="s">
        <v>248</v>
      </c>
      <c r="D236" s="8" t="s">
        <v>84</v>
      </c>
      <c r="E236" s="9">
        <v>92.16</v>
      </c>
      <c r="F236" s="9">
        <v>0</v>
      </c>
      <c r="G236" s="9">
        <f>E236*F236</f>
        <v>0</v>
      </c>
      <c r="H236">
        <v>0.00021</v>
      </c>
      <c r="I236" s="9">
        <f>E236*H236</f>
        <v>0.0193536</v>
      </c>
    </row>
    <row r="238" spans="1:3" ht="12.75">
      <c r="A238" s="8" t="s">
        <v>21</v>
      </c>
      <c r="B238" s="8" t="s">
        <v>249</v>
      </c>
      <c r="C238" t="s">
        <v>250</v>
      </c>
    </row>
    <row r="239" spans="3:7" ht="12.75">
      <c r="C239" t="s">
        <v>251</v>
      </c>
      <c r="D239" s="8" t="s">
        <v>62</v>
      </c>
      <c r="E239" s="9">
        <f>(0.6*0.6+8.8*8.8)*0.5*7.65+8.8*8.8*1.25</f>
        <v>394.38500000000005</v>
      </c>
      <c r="F239" s="9">
        <v>0</v>
      </c>
      <c r="G239" s="9">
        <f>E239*F239</f>
        <v>0</v>
      </c>
    </row>
    <row r="240" ht="12.75">
      <c r="B240" s="8" t="s">
        <v>105</v>
      </c>
    </row>
    <row r="241" spans="1:7" ht="12.75">
      <c r="A241" s="8" t="s">
        <v>23</v>
      </c>
      <c r="B241" s="25" t="s">
        <v>252</v>
      </c>
      <c r="C241" t="s">
        <v>253</v>
      </c>
      <c r="D241" s="8" t="s">
        <v>62</v>
      </c>
      <c r="E241" s="9">
        <v>394.39</v>
      </c>
      <c r="F241" s="9">
        <v>0</v>
      </c>
      <c r="G241" s="9">
        <f>E241*F241</f>
        <v>0</v>
      </c>
    </row>
    <row r="243" spans="1:7" ht="12.75">
      <c r="A243" s="8" t="s">
        <v>25</v>
      </c>
      <c r="B243" s="25" t="s">
        <v>254</v>
      </c>
      <c r="C243" t="s">
        <v>255</v>
      </c>
      <c r="D243" s="8" t="s">
        <v>62</v>
      </c>
      <c r="E243" s="9">
        <v>394.39</v>
      </c>
      <c r="F243" s="9">
        <v>0</v>
      </c>
      <c r="G243" s="9">
        <f>E243*F243</f>
        <v>0</v>
      </c>
    </row>
    <row r="244" ht="12.75">
      <c r="B244" s="25" t="s">
        <v>228</v>
      </c>
    </row>
    <row r="245" spans="1:3" ht="12.75">
      <c r="A245" s="8" t="s">
        <v>27</v>
      </c>
      <c r="B245" s="25" t="s">
        <v>256</v>
      </c>
      <c r="C245" t="s">
        <v>257</v>
      </c>
    </row>
    <row r="246" spans="2:9" ht="12.75">
      <c r="B246" s="25"/>
      <c r="C246" t="s">
        <v>258</v>
      </c>
      <c r="D246" s="8" t="s">
        <v>259</v>
      </c>
      <c r="E246" s="9">
        <v>56</v>
      </c>
      <c r="F246" s="9">
        <v>0</v>
      </c>
      <c r="G246" s="9">
        <f>E246*F246</f>
        <v>0</v>
      </c>
      <c r="H246">
        <v>3E-05</v>
      </c>
      <c r="I246" s="9">
        <f>E246*H246</f>
        <v>0.00168</v>
      </c>
    </row>
    <row r="247" ht="12.75">
      <c r="B247" s="25"/>
    </row>
    <row r="248" spans="1:9" ht="12.75">
      <c r="A248" s="8" t="s">
        <v>29</v>
      </c>
      <c r="B248" s="25" t="s">
        <v>260</v>
      </c>
      <c r="C248" t="s">
        <v>261</v>
      </c>
      <c r="D248" s="8" t="s">
        <v>259</v>
      </c>
      <c r="E248" s="9">
        <v>56</v>
      </c>
      <c r="F248" s="9">
        <v>0</v>
      </c>
      <c r="G248" s="9">
        <f>E248*F248</f>
        <v>0</v>
      </c>
      <c r="H248">
        <v>0.0001</v>
      </c>
      <c r="I248" s="9">
        <f>E248*H248</f>
        <v>0.0056</v>
      </c>
    </row>
    <row r="249" ht="12.75">
      <c r="B249" s="8" t="s">
        <v>262</v>
      </c>
    </row>
    <row r="250" spans="1:3" ht="12.75">
      <c r="A250" s="8" t="s">
        <v>33</v>
      </c>
      <c r="B250" s="8" t="s">
        <v>263</v>
      </c>
      <c r="C250" t="s">
        <v>264</v>
      </c>
    </row>
    <row r="251" spans="2:7" ht="12.75">
      <c r="B251" s="8">
        <v>0.059</v>
      </c>
      <c r="C251" t="s">
        <v>265</v>
      </c>
      <c r="D251" s="8" t="s">
        <v>259</v>
      </c>
      <c r="E251" s="9">
        <v>1</v>
      </c>
      <c r="F251" s="9">
        <v>0</v>
      </c>
      <c r="G251" s="9">
        <f>E251*F251</f>
        <v>0</v>
      </c>
    </row>
    <row r="253" spans="1:3" ht="12.75">
      <c r="A253" s="8" t="s">
        <v>37</v>
      </c>
      <c r="B253" s="8" t="s">
        <v>266</v>
      </c>
      <c r="C253" t="s">
        <v>264</v>
      </c>
    </row>
    <row r="254" spans="2:7" ht="12.75">
      <c r="B254" s="8">
        <v>0.104</v>
      </c>
      <c r="C254" t="s">
        <v>267</v>
      </c>
      <c r="D254" s="8" t="s">
        <v>259</v>
      </c>
      <c r="E254" s="9">
        <v>1</v>
      </c>
      <c r="F254" s="9">
        <v>0</v>
      </c>
      <c r="G254" s="9">
        <f>E254*F254</f>
        <v>0</v>
      </c>
    </row>
    <row r="256" spans="1:3" ht="12.75">
      <c r="A256" s="8" t="s">
        <v>101</v>
      </c>
      <c r="B256" s="8" t="s">
        <v>268</v>
      </c>
      <c r="C256" t="s">
        <v>269</v>
      </c>
    </row>
    <row r="257" spans="2:7" ht="12.75">
      <c r="B257" s="8">
        <v>0.187</v>
      </c>
      <c r="C257" t="s">
        <v>265</v>
      </c>
      <c r="D257" s="8" t="s">
        <v>259</v>
      </c>
      <c r="E257" s="9">
        <v>1</v>
      </c>
      <c r="F257" s="9">
        <v>0</v>
      </c>
      <c r="G257" s="9">
        <f>E257*F257</f>
        <v>0</v>
      </c>
    </row>
    <row r="259" spans="1:3" ht="12.75">
      <c r="A259" s="8" t="s">
        <v>106</v>
      </c>
      <c r="B259" s="8" t="s">
        <v>270</v>
      </c>
      <c r="C259" t="s">
        <v>269</v>
      </c>
    </row>
    <row r="260" spans="2:7" ht="12.75">
      <c r="B260" s="8">
        <v>0.28</v>
      </c>
      <c r="C260" t="s">
        <v>267</v>
      </c>
      <c r="D260" s="8" t="s">
        <v>259</v>
      </c>
      <c r="E260" s="9">
        <v>2</v>
      </c>
      <c r="F260" s="9">
        <v>0</v>
      </c>
      <c r="G260" s="9">
        <f>E260*F260</f>
        <v>0</v>
      </c>
    </row>
    <row r="262" spans="1:3" ht="12.75">
      <c r="A262" s="8" t="s">
        <v>109</v>
      </c>
      <c r="B262" s="8" t="s">
        <v>271</v>
      </c>
      <c r="C262" t="s">
        <v>272</v>
      </c>
    </row>
    <row r="263" spans="3:7" ht="12.75">
      <c r="C263" t="s">
        <v>273</v>
      </c>
      <c r="D263" s="8" t="s">
        <v>36</v>
      </c>
      <c r="E263" s="9">
        <f>0.059+0.104+0.187+0.28*2</f>
        <v>0.91</v>
      </c>
      <c r="F263" s="9">
        <v>0</v>
      </c>
      <c r="G263" s="20">
        <f>E263*F263</f>
        <v>0</v>
      </c>
    </row>
    <row r="267" spans="1:3" ht="12.75">
      <c r="A267" s="8" t="s">
        <v>113</v>
      </c>
      <c r="B267" s="8" t="s">
        <v>274</v>
      </c>
      <c r="C267" t="s">
        <v>275</v>
      </c>
    </row>
    <row r="268" spans="3:9" ht="12.75">
      <c r="C268" t="s">
        <v>276</v>
      </c>
      <c r="D268" s="8" t="s">
        <v>36</v>
      </c>
      <c r="E268" s="9">
        <f>0.91*14</f>
        <v>12.74</v>
      </c>
      <c r="F268" s="9">
        <v>0</v>
      </c>
      <c r="G268" s="21">
        <f>E268*F268</f>
        <v>0</v>
      </c>
      <c r="I268" s="21"/>
    </row>
    <row r="269" spans="3:9" ht="12.75">
      <c r="C269" s="3" t="s">
        <v>8</v>
      </c>
      <c r="G269" s="22">
        <f>SUM(G234:G268)</f>
        <v>0</v>
      </c>
      <c r="I269" s="9">
        <f>SUM(I232:I268)</f>
        <v>0.027555200000000002</v>
      </c>
    </row>
    <row r="271" spans="2:3" ht="12.75">
      <c r="B271" s="8" t="s">
        <v>277</v>
      </c>
      <c r="C271" s="2" t="s">
        <v>28</v>
      </c>
    </row>
    <row r="273" spans="1:3" ht="12.75">
      <c r="A273" s="8" t="s">
        <v>17</v>
      </c>
      <c r="B273" s="8" t="s">
        <v>278</v>
      </c>
      <c r="C273" t="s">
        <v>279</v>
      </c>
    </row>
    <row r="274" ht="12.75">
      <c r="C274" t="s">
        <v>280</v>
      </c>
    </row>
    <row r="275" spans="3:7" ht="12.75" customHeight="1">
      <c r="C275" t="s">
        <v>281</v>
      </c>
      <c r="D275" s="8" t="s">
        <v>84</v>
      </c>
      <c r="E275" s="9">
        <f>59.26+48</f>
        <v>107.25999999999999</v>
      </c>
      <c r="F275" s="9">
        <v>0</v>
      </c>
      <c r="G275" s="9">
        <f>E275*F275</f>
        <v>0</v>
      </c>
    </row>
    <row r="277" spans="1:3" ht="12.75">
      <c r="A277" s="8" t="s">
        <v>19</v>
      </c>
      <c r="B277" s="8" t="s">
        <v>282</v>
      </c>
      <c r="C277" t="s">
        <v>279</v>
      </c>
    </row>
    <row r="278" ht="12.75">
      <c r="C278" t="s">
        <v>283</v>
      </c>
    </row>
    <row r="279" spans="3:7" ht="12.75">
      <c r="C279" t="s">
        <v>284</v>
      </c>
      <c r="D279" s="8" t="s">
        <v>84</v>
      </c>
      <c r="E279" s="9">
        <f>107.26*2</f>
        <v>214.52</v>
      </c>
      <c r="F279" s="9">
        <v>0</v>
      </c>
      <c r="G279" s="9">
        <f>E279*F279</f>
        <v>0</v>
      </c>
    </row>
    <row r="280" ht="12.75">
      <c r="B280" s="8" t="s">
        <v>105</v>
      </c>
    </row>
    <row r="281" spans="1:3" ht="12.75">
      <c r="A281" s="24" t="s">
        <v>21</v>
      </c>
      <c r="B281" s="16">
        <v>111631500</v>
      </c>
      <c r="C281" t="s">
        <v>285</v>
      </c>
    </row>
    <row r="282" spans="3:7" ht="12.75">
      <c r="C282" t="s">
        <v>286</v>
      </c>
      <c r="D282" s="8" t="s">
        <v>36</v>
      </c>
      <c r="E282" s="9">
        <f>0.00035*107.26</f>
        <v>0.037541</v>
      </c>
      <c r="F282" s="9">
        <v>0</v>
      </c>
      <c r="G282" s="9">
        <f>E282*F282</f>
        <v>0</v>
      </c>
    </row>
    <row r="284" spans="1:3" ht="12.75">
      <c r="A284" s="8" t="s">
        <v>23</v>
      </c>
      <c r="B284" s="16">
        <v>111631550</v>
      </c>
      <c r="C284" t="s">
        <v>287</v>
      </c>
    </row>
    <row r="285" spans="3:7" ht="12.75">
      <c r="C285" t="s">
        <v>288</v>
      </c>
      <c r="D285" s="8" t="s">
        <v>36</v>
      </c>
      <c r="E285" s="9">
        <f>0.00085*214.52</f>
        <v>0.182342</v>
      </c>
      <c r="F285" s="9">
        <v>0</v>
      </c>
      <c r="G285" s="21">
        <f>E285*F285</f>
        <v>0</v>
      </c>
    </row>
    <row r="286" spans="3:7" ht="12.75">
      <c r="C286" t="s">
        <v>32</v>
      </c>
      <c r="G286" s="9">
        <f>SUM(G275:G285)</f>
        <v>0</v>
      </c>
    </row>
    <row r="287" spans="1:7" ht="12.75">
      <c r="A287" s="8" t="s">
        <v>25</v>
      </c>
      <c r="B287" s="8" t="s">
        <v>289</v>
      </c>
      <c r="C287" t="s">
        <v>35</v>
      </c>
      <c r="D287" s="8" t="s">
        <v>290</v>
      </c>
      <c r="E287" s="9">
        <v>0</v>
      </c>
      <c r="F287" s="26">
        <v>0.5</v>
      </c>
      <c r="G287" s="21">
        <f>E287*F287</f>
        <v>0</v>
      </c>
    </row>
    <row r="288" spans="3:7" ht="12.75">
      <c r="C288" s="3" t="s">
        <v>8</v>
      </c>
      <c r="G288" s="22">
        <f>SUM(G286:G287)</f>
        <v>0</v>
      </c>
    </row>
    <row r="290" spans="2:3" ht="12.75">
      <c r="B290" s="8" t="s">
        <v>291</v>
      </c>
      <c r="C290" s="2" t="s">
        <v>30</v>
      </c>
    </row>
    <row r="292" spans="1:7" ht="12.75">
      <c r="A292" s="8" t="s">
        <v>17</v>
      </c>
      <c r="B292" s="8" t="s">
        <v>292</v>
      </c>
      <c r="C292" t="s">
        <v>293</v>
      </c>
      <c r="D292" s="8" t="s">
        <v>78</v>
      </c>
      <c r="E292" s="9">
        <v>35.5</v>
      </c>
      <c r="F292" s="9">
        <v>0</v>
      </c>
      <c r="G292" s="9">
        <f>E292*F292</f>
        <v>0</v>
      </c>
    </row>
    <row r="294" spans="1:7" ht="12.75">
      <c r="A294" s="8" t="s">
        <v>19</v>
      </c>
      <c r="C294" t="s">
        <v>294</v>
      </c>
      <c r="D294" s="8" t="s">
        <v>78</v>
      </c>
      <c r="E294" s="9">
        <v>35.5</v>
      </c>
      <c r="F294" s="9">
        <v>0</v>
      </c>
      <c r="G294" s="9">
        <f>E294*F294</f>
        <v>0</v>
      </c>
    </row>
    <row r="295" spans="1:7" ht="12.75">
      <c r="A295" s="8" t="s">
        <v>21</v>
      </c>
      <c r="C295" t="s">
        <v>295</v>
      </c>
      <c r="D295" s="8" t="s">
        <v>259</v>
      </c>
      <c r="E295" s="9">
        <v>20</v>
      </c>
      <c r="F295" s="9">
        <v>0</v>
      </c>
      <c r="G295" s="9">
        <f>E295*F295</f>
        <v>0</v>
      </c>
    </row>
    <row r="296" spans="1:7" ht="12.75">
      <c r="A296" s="8" t="s">
        <v>23</v>
      </c>
      <c r="C296" t="s">
        <v>296</v>
      </c>
      <c r="D296" s="8" t="s">
        <v>259</v>
      </c>
      <c r="E296" s="9">
        <v>4</v>
      </c>
      <c r="F296" s="9">
        <v>0</v>
      </c>
      <c r="G296" s="21">
        <f>E296*F296</f>
        <v>0</v>
      </c>
    </row>
    <row r="297" spans="2:7" ht="12.75">
      <c r="B297" s="16"/>
      <c r="C297" t="s">
        <v>32</v>
      </c>
      <c r="G297" s="9">
        <f>SUM(G292:G296)</f>
        <v>0</v>
      </c>
    </row>
    <row r="298" spans="1:7" ht="12.75">
      <c r="A298" s="8" t="s">
        <v>25</v>
      </c>
      <c r="B298" s="8" t="s">
        <v>297</v>
      </c>
      <c r="C298" t="s">
        <v>35</v>
      </c>
      <c r="D298" s="8" t="s">
        <v>41</v>
      </c>
      <c r="E298" s="9">
        <f>G297</f>
        <v>0</v>
      </c>
      <c r="F298" s="26">
        <v>0.5</v>
      </c>
      <c r="G298" s="21">
        <f>E298*F298</f>
        <v>0</v>
      </c>
    </row>
    <row r="299" spans="2:7" ht="12.75">
      <c r="B299" s="16"/>
      <c r="C299" s="4" t="s">
        <v>32</v>
      </c>
      <c r="G299" s="9">
        <f>SUM(G297:G298)</f>
        <v>0</v>
      </c>
    </row>
    <row r="300" spans="1:7" ht="12.75">
      <c r="A300" s="8" t="s">
        <v>27</v>
      </c>
      <c r="B300" s="16"/>
      <c r="C300" s="4" t="s">
        <v>298</v>
      </c>
      <c r="D300" s="8" t="s">
        <v>41</v>
      </c>
      <c r="E300" s="9">
        <f>G299</f>
        <v>0</v>
      </c>
      <c r="F300" s="13">
        <v>1</v>
      </c>
      <c r="G300" s="21">
        <f>E300*F300</f>
        <v>0</v>
      </c>
    </row>
    <row r="301" spans="2:7" ht="12.75">
      <c r="B301" s="16"/>
      <c r="C301" s="3" t="s">
        <v>8</v>
      </c>
      <c r="E301" s="19"/>
      <c r="G301" s="22">
        <f>SUM(G299:G300)</f>
        <v>0</v>
      </c>
    </row>
  </sheetData>
  <sheetProtection/>
  <autoFilter ref="A35:I301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showZeros="0" defaultGridColor="0" zoomScale="108" zoomScaleNormal="108" zoomScalePageLayoutView="0" colorId="8" workbookViewId="0" topLeftCell="A1">
      <selection activeCell="A1" sqref="A1"/>
    </sheetView>
  </sheetViews>
  <sheetFormatPr defaultColWidth="9.00390625" defaultRowHeight="12.75"/>
  <cols>
    <col min="1" max="1" width="5.25390625" style="27" customWidth="1"/>
    <col min="2" max="2" width="3.375" style="27" customWidth="1"/>
    <col min="3" max="3" width="41.875" style="28" customWidth="1"/>
    <col min="4" max="4" width="5.125" style="28" customWidth="1"/>
    <col min="5" max="5" width="3.375" style="28" customWidth="1"/>
    <col min="6" max="6" width="11.75390625" style="28" customWidth="1"/>
    <col min="7" max="7" width="9.375" style="28" customWidth="1"/>
    <col min="8" max="8" width="10.75390625" style="28" customWidth="1"/>
    <col min="9" max="9" width="13.00390625" style="29" customWidth="1"/>
    <col min="10" max="10" width="11.375" style="27" customWidth="1"/>
    <col min="11" max="11" width="14.625" style="29" customWidth="1"/>
    <col min="12" max="16384" width="9.125" style="27" customWidth="1"/>
  </cols>
  <sheetData>
    <row r="1" spans="1:11" ht="13.5" customHeight="1">
      <c r="A1" s="30"/>
      <c r="B1" s="31"/>
      <c r="C1" s="32"/>
      <c r="D1" s="32"/>
      <c r="E1" s="32"/>
      <c r="F1" s="32"/>
      <c r="G1" s="33"/>
      <c r="H1" s="32"/>
      <c r="I1" s="34"/>
      <c r="J1" s="31"/>
      <c r="K1" s="35"/>
    </row>
    <row r="2" spans="1:11" ht="13.5" customHeight="1">
      <c r="A2" s="36"/>
      <c r="B2" s="37"/>
      <c r="C2" s="38" t="s">
        <v>299</v>
      </c>
      <c r="D2" s="38"/>
      <c r="F2" s="38"/>
      <c r="G2" s="39"/>
      <c r="H2" s="317"/>
      <c r="I2" s="317"/>
      <c r="J2" s="37"/>
      <c r="K2" s="40"/>
    </row>
    <row r="3" spans="1:11" ht="13.5" customHeight="1">
      <c r="A3" s="36"/>
      <c r="B3" s="37"/>
      <c r="C3" s="38" t="s">
        <v>300</v>
      </c>
      <c r="D3" s="38"/>
      <c r="F3" s="38"/>
      <c r="G3" s="41"/>
      <c r="H3" s="318"/>
      <c r="I3" s="318"/>
      <c r="J3" s="318"/>
      <c r="K3" s="318"/>
    </row>
    <row r="4" spans="1:11" ht="13.5" customHeight="1">
      <c r="A4" s="36"/>
      <c r="B4" s="37"/>
      <c r="C4" s="38"/>
      <c r="D4" s="38"/>
      <c r="E4" s="38"/>
      <c r="F4" s="38"/>
      <c r="G4" s="42"/>
      <c r="H4" s="319"/>
      <c r="I4" s="319"/>
      <c r="J4" s="319"/>
      <c r="K4" s="319"/>
    </row>
    <row r="5" spans="1:21" ht="20.25" customHeight="1">
      <c r="A5" s="320" t="s">
        <v>301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24" customHeight="1">
      <c r="A6" s="321" t="s">
        <v>302</v>
      </c>
      <c r="B6" s="321" t="s">
        <v>303</v>
      </c>
      <c r="C6" s="321" t="s">
        <v>304</v>
      </c>
      <c r="D6" s="321" t="s">
        <v>305</v>
      </c>
      <c r="E6" s="321" t="s">
        <v>306</v>
      </c>
      <c r="F6" s="321" t="s">
        <v>307</v>
      </c>
      <c r="G6" s="321" t="s">
        <v>308</v>
      </c>
      <c r="H6" s="320" t="s">
        <v>309</v>
      </c>
      <c r="I6" s="320"/>
      <c r="J6" s="320" t="s">
        <v>310</v>
      </c>
      <c r="K6" s="320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3.5" customHeight="1">
      <c r="A7" s="321"/>
      <c r="B7" s="321"/>
      <c r="C7" s="321"/>
      <c r="D7" s="321"/>
      <c r="E7" s="321"/>
      <c r="F7" s="321"/>
      <c r="G7" s="321"/>
      <c r="H7" s="44" t="s">
        <v>311</v>
      </c>
      <c r="I7" s="45" t="s">
        <v>312</v>
      </c>
      <c r="J7" s="44" t="s">
        <v>311</v>
      </c>
      <c r="K7" s="45" t="s">
        <v>312</v>
      </c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11" ht="12.75">
      <c r="A8" s="46"/>
      <c r="B8" s="47"/>
      <c r="C8" s="48" t="s">
        <v>313</v>
      </c>
      <c r="D8" s="49"/>
      <c r="E8" s="50"/>
      <c r="F8" s="50"/>
      <c r="G8" s="49"/>
      <c r="H8" s="49"/>
      <c r="I8" s="51"/>
      <c r="J8" s="47"/>
      <c r="K8" s="52"/>
    </row>
    <row r="9" spans="1:11" ht="12.75">
      <c r="A9" s="53"/>
      <c r="B9" s="54"/>
      <c r="C9" s="55"/>
      <c r="D9" s="55"/>
      <c r="E9" s="56"/>
      <c r="F9" s="56"/>
      <c r="G9" s="55"/>
      <c r="H9" s="57"/>
      <c r="I9" s="58"/>
      <c r="J9" s="57"/>
      <c r="K9" s="59"/>
    </row>
    <row r="10" spans="1:12" ht="12.75">
      <c r="A10" s="60"/>
      <c r="B10" s="61"/>
      <c r="C10" s="62" t="s">
        <v>314</v>
      </c>
      <c r="D10" s="63"/>
      <c r="E10" s="64"/>
      <c r="F10" s="64"/>
      <c r="G10" s="63"/>
      <c r="H10" s="58"/>
      <c r="I10" s="58"/>
      <c r="J10" s="58"/>
      <c r="K10" s="59"/>
      <c r="L10" s="43"/>
    </row>
    <row r="11" spans="1:11" ht="12.75">
      <c r="A11" s="65"/>
      <c r="B11" s="61"/>
      <c r="C11" s="66"/>
      <c r="D11" s="67"/>
      <c r="E11" s="68"/>
      <c r="F11" s="68"/>
      <c r="G11" s="67"/>
      <c r="H11" s="69"/>
      <c r="I11" s="69"/>
      <c r="J11" s="69"/>
      <c r="K11" s="70"/>
    </row>
    <row r="12" spans="1:11" ht="12.75">
      <c r="A12" s="71"/>
      <c r="B12" s="47"/>
      <c r="C12" s="48" t="s">
        <v>315</v>
      </c>
      <c r="D12" s="49"/>
      <c r="E12" s="50"/>
      <c r="F12" s="50"/>
      <c r="G12" s="49"/>
      <c r="H12" s="51"/>
      <c r="I12" s="51"/>
      <c r="J12" s="51"/>
      <c r="K12" s="52"/>
    </row>
    <row r="13" spans="1:11" ht="12.75">
      <c r="A13" s="72"/>
      <c r="B13" s="54"/>
      <c r="C13" s="73"/>
      <c r="D13" s="73"/>
      <c r="E13" s="74"/>
      <c r="F13" s="74"/>
      <c r="G13" s="73"/>
      <c r="H13" s="75"/>
      <c r="I13" s="69"/>
      <c r="J13" s="75"/>
      <c r="K13" s="70"/>
    </row>
    <row r="14" spans="1:11" ht="12.75">
      <c r="A14" s="65"/>
      <c r="B14" s="61"/>
      <c r="C14" s="67" t="s">
        <v>314</v>
      </c>
      <c r="D14" s="67"/>
      <c r="E14" s="68"/>
      <c r="F14" s="68"/>
      <c r="G14" s="67"/>
      <c r="H14" s="69"/>
      <c r="I14" s="69"/>
      <c r="J14" s="69"/>
      <c r="K14" s="70"/>
    </row>
    <row r="15" spans="1:11" ht="12.75">
      <c r="A15" s="65"/>
      <c r="B15" s="76"/>
      <c r="C15" s="77"/>
      <c r="D15" s="78"/>
      <c r="E15" s="79"/>
      <c r="F15" s="79"/>
      <c r="G15" s="77"/>
      <c r="H15" s="80"/>
      <c r="I15" s="69"/>
      <c r="J15" s="80"/>
      <c r="K15" s="70"/>
    </row>
    <row r="16" spans="1:11" ht="12.75">
      <c r="A16" s="71"/>
      <c r="B16" s="47"/>
      <c r="C16" s="81" t="s">
        <v>316</v>
      </c>
      <c r="D16" s="49"/>
      <c r="E16" s="50"/>
      <c r="F16" s="50"/>
      <c r="G16" s="49"/>
      <c r="H16" s="51"/>
      <c r="I16" s="82"/>
      <c r="J16" s="75"/>
      <c r="K16" s="83"/>
    </row>
    <row r="17" spans="1:18" ht="12.75">
      <c r="A17" s="60"/>
      <c r="B17" s="54"/>
      <c r="C17" s="54"/>
      <c r="D17" s="73"/>
      <c r="E17" s="74"/>
      <c r="F17" s="74"/>
      <c r="G17" s="55"/>
      <c r="H17" s="57"/>
      <c r="I17" s="58"/>
      <c r="J17" s="57"/>
      <c r="K17" s="59"/>
      <c r="R17" s="43"/>
    </row>
    <row r="18" spans="1:11" ht="12.75">
      <c r="A18" s="60"/>
      <c r="B18" s="61"/>
      <c r="C18" s="61" t="s">
        <v>314</v>
      </c>
      <c r="D18" s="67"/>
      <c r="E18" s="68"/>
      <c r="F18" s="68"/>
      <c r="G18" s="67"/>
      <c r="H18" s="69"/>
      <c r="I18" s="69"/>
      <c r="J18" s="69"/>
      <c r="K18" s="70"/>
    </row>
    <row r="19" spans="1:11" ht="12.75">
      <c r="A19" s="60"/>
      <c r="B19" s="61"/>
      <c r="C19" s="76"/>
      <c r="D19" s="84"/>
      <c r="E19" s="85"/>
      <c r="F19" s="85"/>
      <c r="G19" s="84"/>
      <c r="H19" s="86"/>
      <c r="I19" s="87"/>
      <c r="J19" s="88"/>
      <c r="K19" s="89"/>
    </row>
    <row r="20" spans="1:11" ht="12.75">
      <c r="A20" s="90"/>
      <c r="B20" s="90"/>
      <c r="C20" s="91" t="s">
        <v>317</v>
      </c>
      <c r="D20" s="92"/>
      <c r="E20" s="93"/>
      <c r="F20" s="93"/>
      <c r="G20" s="49"/>
      <c r="H20" s="94"/>
      <c r="I20" s="94"/>
      <c r="J20" s="94"/>
      <c r="K20" s="83"/>
    </row>
    <row r="21" spans="1:11" ht="12.75">
      <c r="A21" s="60"/>
      <c r="B21" s="95"/>
      <c r="C21" s="54"/>
      <c r="D21" s="96"/>
      <c r="E21" s="74"/>
      <c r="F21" s="74"/>
      <c r="G21" s="97"/>
      <c r="H21" s="98"/>
      <c r="I21" s="98"/>
      <c r="J21" s="98"/>
      <c r="K21" s="99"/>
    </row>
    <row r="22" spans="1:11" ht="12.75">
      <c r="A22" s="60"/>
      <c r="B22" s="100"/>
      <c r="C22" s="61" t="s">
        <v>314</v>
      </c>
      <c r="D22" s="101"/>
      <c r="E22" s="68"/>
      <c r="F22" s="68"/>
      <c r="G22" s="67"/>
      <c r="H22" s="69"/>
      <c r="I22" s="69"/>
      <c r="J22" s="69"/>
      <c r="K22" s="70"/>
    </row>
    <row r="23" spans="1:11" ht="12.75">
      <c r="A23" s="102"/>
      <c r="B23" s="76"/>
      <c r="C23" s="103"/>
      <c r="D23" s="104"/>
      <c r="E23" s="68"/>
      <c r="F23" s="68"/>
      <c r="G23" s="67"/>
      <c r="H23" s="86"/>
      <c r="I23" s="87"/>
      <c r="J23" s="88"/>
      <c r="K23" s="89"/>
    </row>
    <row r="24" spans="1:12" ht="12.75">
      <c r="A24" s="105"/>
      <c r="B24" s="106"/>
      <c r="C24" s="81" t="s">
        <v>318</v>
      </c>
      <c r="D24" s="49"/>
      <c r="E24" s="50"/>
      <c r="F24" s="50"/>
      <c r="G24" s="49"/>
      <c r="H24" s="94"/>
      <c r="I24" s="94"/>
      <c r="J24" s="94"/>
      <c r="K24" s="83"/>
      <c r="L24" s="27" t="s">
        <v>319</v>
      </c>
    </row>
    <row r="25" spans="1:11" ht="14.25" customHeight="1">
      <c r="A25" s="107"/>
      <c r="B25" s="61"/>
      <c r="C25" s="108" t="s">
        <v>320</v>
      </c>
      <c r="D25" s="67"/>
      <c r="E25" s="68"/>
      <c r="F25" s="109" t="s">
        <v>78</v>
      </c>
      <c r="G25" s="109">
        <v>45</v>
      </c>
      <c r="H25" s="69"/>
      <c r="I25" s="69">
        <f aca="true" t="shared" si="0" ref="I25:I35">PRODUCT(G25*H25)</f>
        <v>0</v>
      </c>
      <c r="J25" s="69"/>
      <c r="K25" s="70">
        <f aca="true" t="shared" si="1" ref="K25:K35">PRODUCT(G25*J25)</f>
        <v>0</v>
      </c>
    </row>
    <row r="26" spans="1:11" ht="12.75">
      <c r="A26" s="107"/>
      <c r="B26" s="61"/>
      <c r="C26" s="108" t="s">
        <v>321</v>
      </c>
      <c r="D26" s="67"/>
      <c r="E26" s="68"/>
      <c r="F26" s="109" t="s">
        <v>78</v>
      </c>
      <c r="G26" s="109">
        <v>25</v>
      </c>
      <c r="H26" s="69"/>
      <c r="I26" s="69">
        <f t="shared" si="0"/>
        <v>0</v>
      </c>
      <c r="J26" s="69">
        <v>0</v>
      </c>
      <c r="K26" s="70">
        <f t="shared" si="1"/>
        <v>0</v>
      </c>
    </row>
    <row r="27" spans="1:11" ht="12.75">
      <c r="A27" s="107"/>
      <c r="B27" s="61"/>
      <c r="C27" s="108" t="s">
        <v>322</v>
      </c>
      <c r="D27" s="67"/>
      <c r="E27" s="68"/>
      <c r="F27" s="109" t="s">
        <v>259</v>
      </c>
      <c r="G27" s="109">
        <v>30</v>
      </c>
      <c r="H27" s="69"/>
      <c r="I27" s="69">
        <f t="shared" si="0"/>
        <v>0</v>
      </c>
      <c r="J27" s="69">
        <v>0</v>
      </c>
      <c r="K27" s="70">
        <f t="shared" si="1"/>
        <v>0</v>
      </c>
    </row>
    <row r="28" spans="1:11" ht="12.75">
      <c r="A28" s="107"/>
      <c r="B28" s="61"/>
      <c r="C28" s="108" t="s">
        <v>323</v>
      </c>
      <c r="D28" s="110"/>
      <c r="E28" s="68"/>
      <c r="F28" s="109" t="s">
        <v>259</v>
      </c>
      <c r="G28" s="109">
        <v>10</v>
      </c>
      <c r="H28" s="69"/>
      <c r="I28" s="69">
        <f t="shared" si="0"/>
        <v>0</v>
      </c>
      <c r="J28" s="69">
        <v>0</v>
      </c>
      <c r="K28" s="70">
        <f t="shared" si="1"/>
        <v>0</v>
      </c>
    </row>
    <row r="29" spans="1:11" ht="12.75">
      <c r="A29" s="107"/>
      <c r="B29" s="61"/>
      <c r="C29" s="111" t="s">
        <v>324</v>
      </c>
      <c r="D29" s="110"/>
      <c r="E29" s="112"/>
      <c r="F29" s="109" t="s">
        <v>78</v>
      </c>
      <c r="G29" s="109">
        <v>95</v>
      </c>
      <c r="H29" s="69"/>
      <c r="I29" s="69">
        <f t="shared" si="0"/>
        <v>0</v>
      </c>
      <c r="J29" s="69">
        <v>0</v>
      </c>
      <c r="K29" s="70">
        <f t="shared" si="1"/>
        <v>0</v>
      </c>
    </row>
    <row r="30" spans="1:11" ht="12.75">
      <c r="A30" s="107"/>
      <c r="B30" s="61"/>
      <c r="C30" s="111" t="s">
        <v>325</v>
      </c>
      <c r="D30" s="110"/>
      <c r="E30" s="112"/>
      <c r="F30" s="109" t="s">
        <v>259</v>
      </c>
      <c r="G30" s="109">
        <v>20</v>
      </c>
      <c r="H30" s="69"/>
      <c r="I30" s="69">
        <f t="shared" si="0"/>
        <v>0</v>
      </c>
      <c r="J30" s="69">
        <v>0</v>
      </c>
      <c r="K30" s="70">
        <f t="shared" si="1"/>
        <v>0</v>
      </c>
    </row>
    <row r="31" spans="1:11" ht="12.75">
      <c r="A31" s="107"/>
      <c r="B31" s="61"/>
      <c r="C31" s="111" t="s">
        <v>326</v>
      </c>
      <c r="D31" s="110"/>
      <c r="E31" s="112"/>
      <c r="F31" s="109" t="s">
        <v>259</v>
      </c>
      <c r="G31" s="109">
        <v>10</v>
      </c>
      <c r="H31" s="69"/>
      <c r="I31" s="69">
        <f t="shared" si="0"/>
        <v>0</v>
      </c>
      <c r="J31" s="69">
        <v>0</v>
      </c>
      <c r="K31" s="70">
        <f t="shared" si="1"/>
        <v>0</v>
      </c>
    </row>
    <row r="32" spans="1:11" ht="12.75">
      <c r="A32" s="107"/>
      <c r="B32" s="61"/>
      <c r="C32" s="108" t="s">
        <v>327</v>
      </c>
      <c r="D32" s="110"/>
      <c r="E32" s="112"/>
      <c r="F32" s="109" t="s">
        <v>259</v>
      </c>
      <c r="G32" s="109">
        <v>10</v>
      </c>
      <c r="H32" s="69"/>
      <c r="I32" s="69">
        <f t="shared" si="0"/>
        <v>0</v>
      </c>
      <c r="J32" s="69">
        <v>0</v>
      </c>
      <c r="K32" s="70">
        <f t="shared" si="1"/>
        <v>0</v>
      </c>
    </row>
    <row r="33" spans="1:11" ht="12.75">
      <c r="A33" s="107"/>
      <c r="B33" s="61"/>
      <c r="C33" s="108" t="s">
        <v>328</v>
      </c>
      <c r="D33" s="110"/>
      <c r="E33" s="112"/>
      <c r="F33" s="109" t="s">
        <v>259</v>
      </c>
      <c r="G33" s="109">
        <v>20</v>
      </c>
      <c r="H33" s="69"/>
      <c r="I33" s="69">
        <f t="shared" si="0"/>
        <v>0</v>
      </c>
      <c r="J33" s="69">
        <v>0</v>
      </c>
      <c r="K33" s="70">
        <f t="shared" si="1"/>
        <v>0</v>
      </c>
    </row>
    <row r="34" spans="1:11" ht="12.75">
      <c r="A34" s="107"/>
      <c r="B34" s="61"/>
      <c r="C34" s="108" t="s">
        <v>329</v>
      </c>
      <c r="D34" s="110"/>
      <c r="E34" s="112"/>
      <c r="F34" s="109" t="s">
        <v>259</v>
      </c>
      <c r="G34" s="109">
        <v>30</v>
      </c>
      <c r="H34" s="69"/>
      <c r="I34" s="69">
        <f t="shared" si="0"/>
        <v>0</v>
      </c>
      <c r="J34" s="69">
        <v>0</v>
      </c>
      <c r="K34" s="70">
        <f t="shared" si="1"/>
        <v>0</v>
      </c>
    </row>
    <row r="35" spans="1:11" ht="12.75">
      <c r="A35" s="102"/>
      <c r="B35" s="76"/>
      <c r="C35" s="113" t="s">
        <v>330</v>
      </c>
      <c r="D35" s="84"/>
      <c r="E35" s="85"/>
      <c r="F35" s="114" t="s">
        <v>331</v>
      </c>
      <c r="G35" s="114">
        <v>1</v>
      </c>
      <c r="H35" s="80">
        <v>0</v>
      </c>
      <c r="I35" s="80">
        <f t="shared" si="0"/>
        <v>0</v>
      </c>
      <c r="J35" s="80"/>
      <c r="K35" s="115">
        <f t="shared" si="1"/>
        <v>0</v>
      </c>
    </row>
    <row r="36" spans="1:11" ht="12.75">
      <c r="A36" s="116"/>
      <c r="B36" s="90"/>
      <c r="C36" s="117" t="s">
        <v>332</v>
      </c>
      <c r="D36" s="118"/>
      <c r="E36" s="118"/>
      <c r="F36" s="119"/>
      <c r="G36" s="120"/>
      <c r="H36" s="86"/>
      <c r="I36" s="86"/>
      <c r="J36" s="86"/>
      <c r="K36" s="121"/>
    </row>
    <row r="37" spans="1:11" ht="12.75">
      <c r="A37" s="102"/>
      <c r="B37" s="76"/>
      <c r="C37" s="122" t="s">
        <v>333</v>
      </c>
      <c r="D37" s="123"/>
      <c r="E37" s="123"/>
      <c r="F37" s="124" t="s">
        <v>331</v>
      </c>
      <c r="G37" s="97">
        <v>1</v>
      </c>
      <c r="H37" s="88"/>
      <c r="I37" s="98">
        <f>PRODUCT(G37*H37)</f>
        <v>0</v>
      </c>
      <c r="J37" s="88">
        <v>0</v>
      </c>
      <c r="K37" s="99">
        <f>PRODUCT(G37*J37)</f>
        <v>0</v>
      </c>
    </row>
    <row r="38" spans="1:11" ht="12.75">
      <c r="A38" s="116"/>
      <c r="B38" s="90"/>
      <c r="C38" s="48" t="s">
        <v>334</v>
      </c>
      <c r="D38" s="49"/>
      <c r="E38" s="50"/>
      <c r="F38" s="50"/>
      <c r="G38" s="49"/>
      <c r="H38" s="51"/>
      <c r="I38" s="51"/>
      <c r="J38" s="51"/>
      <c r="K38" s="52"/>
    </row>
    <row r="39" spans="1:11" ht="12.75">
      <c r="A39" s="107"/>
      <c r="B39" s="61"/>
      <c r="C39" s="63" t="s">
        <v>335</v>
      </c>
      <c r="D39" s="67"/>
      <c r="E39" s="68"/>
      <c r="F39" s="68" t="s">
        <v>78</v>
      </c>
      <c r="G39" s="125">
        <v>60</v>
      </c>
      <c r="H39" s="69">
        <v>0</v>
      </c>
      <c r="I39" s="69">
        <f>PRODUCT(G39*H39)</f>
        <v>0</v>
      </c>
      <c r="J39" s="69"/>
      <c r="K39" s="70"/>
    </row>
    <row r="40" spans="1:11" ht="12.75">
      <c r="A40" s="116"/>
      <c r="B40" s="90"/>
      <c r="C40" s="81" t="s">
        <v>336</v>
      </c>
      <c r="D40" s="49"/>
      <c r="E40" s="50"/>
      <c r="F40" s="50"/>
      <c r="G40" s="49"/>
      <c r="H40" s="51"/>
      <c r="I40" s="82"/>
      <c r="J40" s="94"/>
      <c r="K40" s="83"/>
    </row>
    <row r="41" spans="1:11" ht="12.75">
      <c r="A41" s="107"/>
      <c r="B41" s="61"/>
      <c r="C41" s="126" t="s">
        <v>337</v>
      </c>
      <c r="D41" s="127"/>
      <c r="E41" s="127"/>
      <c r="F41" s="128" t="s">
        <v>259</v>
      </c>
      <c r="G41" s="125">
        <v>1</v>
      </c>
      <c r="H41" s="69">
        <v>0</v>
      </c>
      <c r="I41" s="69">
        <f>PRODUCT(G41*H41)</f>
        <v>0</v>
      </c>
      <c r="J41" s="69"/>
      <c r="K41" s="70">
        <f>PRODUCT(G41*J41)</f>
        <v>0</v>
      </c>
    </row>
    <row r="42" spans="1:11" ht="12.75">
      <c r="A42" s="107"/>
      <c r="B42" s="61"/>
      <c r="C42" s="129" t="s">
        <v>338</v>
      </c>
      <c r="D42" s="127"/>
      <c r="E42" s="127"/>
      <c r="F42" s="128" t="s">
        <v>259</v>
      </c>
      <c r="G42" s="125">
        <v>1</v>
      </c>
      <c r="H42" s="69">
        <v>0</v>
      </c>
      <c r="I42" s="69">
        <f>PRODUCT(G42*H42)</f>
        <v>0</v>
      </c>
      <c r="J42" s="69"/>
      <c r="K42" s="70">
        <f>PRODUCT(G42*J42)</f>
        <v>0</v>
      </c>
    </row>
    <row r="43" spans="1:11" ht="12.75">
      <c r="A43" s="130"/>
      <c r="B43" s="106"/>
      <c r="C43" s="131" t="s">
        <v>339</v>
      </c>
      <c r="D43" s="132"/>
      <c r="E43" s="132"/>
      <c r="F43" s="133" t="s">
        <v>259</v>
      </c>
      <c r="G43" s="134">
        <v>1</v>
      </c>
      <c r="H43" s="80">
        <v>0</v>
      </c>
      <c r="I43" s="80">
        <f>PRODUCT(G43*H43)</f>
        <v>0</v>
      </c>
      <c r="J43" s="80"/>
      <c r="K43" s="115">
        <f>PRODUCT(G43*J43)</f>
        <v>0</v>
      </c>
    </row>
    <row r="44" spans="1:11" ht="12.75">
      <c r="A44" s="135" t="s">
        <v>340</v>
      </c>
      <c r="B44" s="136"/>
      <c r="C44" s="137"/>
      <c r="D44" s="138"/>
      <c r="E44" s="138"/>
      <c r="F44" s="139"/>
      <c r="G44" s="138"/>
      <c r="H44" s="140" t="s">
        <v>312</v>
      </c>
      <c r="I44" s="141">
        <f>SUM(I9:I43)</f>
        <v>0</v>
      </c>
      <c r="J44" s="142"/>
      <c r="K44" s="141">
        <f>SUM(K9:K43)</f>
        <v>0</v>
      </c>
    </row>
    <row r="45" spans="1:11" ht="12.75">
      <c r="A45" s="143"/>
      <c r="B45" s="137"/>
      <c r="C45" s="137"/>
      <c r="D45" s="138"/>
      <c r="E45" s="138"/>
      <c r="F45" s="139"/>
      <c r="G45" s="138"/>
      <c r="H45" s="142"/>
      <c r="I45" s="142"/>
      <c r="J45" s="142"/>
      <c r="K45" s="142"/>
    </row>
    <row r="46" spans="1:3" ht="12.75">
      <c r="A46" s="323"/>
      <c r="B46" s="324"/>
      <c r="C46" s="144" t="s">
        <v>341</v>
      </c>
    </row>
    <row r="47" spans="1:3" ht="12.75">
      <c r="A47" s="323"/>
      <c r="B47" s="324"/>
      <c r="C47" s="144" t="s">
        <v>342</v>
      </c>
    </row>
    <row r="48" spans="1:3" ht="12.75">
      <c r="A48" s="323"/>
      <c r="B48" s="324"/>
      <c r="C48" s="144" t="s">
        <v>343</v>
      </c>
    </row>
    <row r="49" spans="1:3" s="27" customFormat="1" ht="12.75">
      <c r="A49" s="144" t="s">
        <v>344</v>
      </c>
      <c r="B49" s="144"/>
      <c r="C49" s="144" t="s">
        <v>345</v>
      </c>
    </row>
    <row r="50" spans="1:3" s="27" customFormat="1" ht="12.75">
      <c r="A50" s="323"/>
      <c r="B50" s="144"/>
      <c r="C50" s="144" t="s">
        <v>346</v>
      </c>
    </row>
    <row r="51" spans="1:3" s="27" customFormat="1" ht="12.75">
      <c r="A51" s="143"/>
      <c r="C51" s="28"/>
    </row>
    <row r="52" spans="1:3" s="27" customFormat="1" ht="12.75">
      <c r="A52" s="143"/>
      <c r="C52" s="28"/>
    </row>
    <row r="53" spans="1:3" s="27" customFormat="1" ht="12.75">
      <c r="A53" s="143"/>
      <c r="C53" s="28"/>
    </row>
    <row r="54" spans="1:3" s="27" customFormat="1" ht="12.75">
      <c r="A54" s="143"/>
      <c r="C54" s="28"/>
    </row>
    <row r="55" spans="1:3" s="27" customFormat="1" ht="12.75">
      <c r="A55" s="143"/>
      <c r="C55" s="28"/>
    </row>
    <row r="56" spans="1:3" s="27" customFormat="1" ht="12.75">
      <c r="A56" s="143"/>
      <c r="C56" s="28"/>
    </row>
    <row r="57" spans="1:3" s="27" customFormat="1" ht="12.75">
      <c r="A57" s="143"/>
      <c r="C57" s="28"/>
    </row>
    <row r="58" spans="1:3" s="27" customFormat="1" ht="12.75">
      <c r="A58" s="143"/>
      <c r="C58" s="28"/>
    </row>
    <row r="59" spans="1:3" s="27" customFormat="1" ht="12.75">
      <c r="A59" s="143"/>
      <c r="C59" s="28"/>
    </row>
  </sheetData>
  <sheetProtection/>
  <mergeCells count="13">
    <mergeCell ref="G6:G7"/>
    <mergeCell ref="H6:I6"/>
    <mergeCell ref="J6:K6"/>
    <mergeCell ref="H2:I2"/>
    <mergeCell ref="H3:K3"/>
    <mergeCell ref="H4:K4"/>
    <mergeCell ref="A5:K5"/>
    <mergeCell ref="A6:A7"/>
    <mergeCell ref="B6:B7"/>
    <mergeCell ref="C6:C7"/>
    <mergeCell ref="D6:D7"/>
    <mergeCell ref="E6:E7"/>
    <mergeCell ref="F6:F7"/>
  </mergeCells>
  <conditionalFormatting sqref="C36:E36 C41:E43 D37:E37">
    <cfRule type="cellIs" priority="1" dxfId="1" operator="equal" stopIfTrue="1">
      <formula>0</formula>
    </cfRule>
  </conditionalFormatting>
  <printOptions horizontalCentered="1"/>
  <pageMargins left="0.1968503937007874" right="0.15748031496062992" top="0.3937007874015748" bottom="0.984251968503937" header="0.5118110236220472" footer="0.5118110236220472"/>
  <pageSetup fitToHeight="1" fitToWidth="1" horizontalDpi="300" verticalDpi="300" orientation="landscape" paperSize="9" scale="75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6"/>
  <sheetViews>
    <sheetView showZeros="0" defaultGridColor="0" zoomScalePageLayoutView="0" colorId="8" workbookViewId="0" topLeftCell="A1">
      <selection activeCell="A1" sqref="A1"/>
    </sheetView>
  </sheetViews>
  <sheetFormatPr defaultColWidth="9.00390625" defaultRowHeight="12.75"/>
  <cols>
    <col min="1" max="1" width="5.375" style="8" customWidth="1"/>
    <col min="2" max="2" width="12.25390625" style="8" customWidth="1"/>
    <col min="3" max="3" width="49.00390625" style="0" customWidth="1"/>
    <col min="4" max="4" width="5.125" style="8" customWidth="1"/>
    <col min="5" max="5" width="13.00390625" style="9" customWidth="1"/>
    <col min="6" max="6" width="10.75390625" style="9" customWidth="1"/>
    <col min="7" max="7" width="14.25390625" style="9" customWidth="1"/>
    <col min="8" max="8" width="10.125" style="0" customWidth="1"/>
    <col min="9" max="9" width="10.00390625" style="9" customWidth="1"/>
  </cols>
  <sheetData>
    <row r="1" ht="18">
      <c r="C1" s="1" t="s">
        <v>0</v>
      </c>
    </row>
    <row r="3" ht="15.75">
      <c r="C3" s="10" t="s">
        <v>12</v>
      </c>
    </row>
    <row r="5" ht="15.75">
      <c r="C5" s="10" t="s">
        <v>16</v>
      </c>
    </row>
    <row r="6" spans="1:9" ht="12.75">
      <c r="A6" s="8" t="s">
        <v>17</v>
      </c>
      <c r="C6" s="11" t="s">
        <v>18</v>
      </c>
      <c r="G6" s="5">
        <f>G90</f>
        <v>0</v>
      </c>
      <c r="I6" s="5">
        <f>I90</f>
        <v>16.76497464</v>
      </c>
    </row>
    <row r="7" spans="1:9" ht="12.75">
      <c r="A7" s="8" t="s">
        <v>19</v>
      </c>
      <c r="C7" s="11" t="s">
        <v>347</v>
      </c>
      <c r="G7" s="5">
        <f>G100</f>
        <v>0</v>
      </c>
      <c r="I7" s="5">
        <f>I100</f>
        <v>5.9775974</v>
      </c>
    </row>
    <row r="8" spans="1:9" ht="12.75">
      <c r="A8" s="8" t="s">
        <v>21</v>
      </c>
      <c r="C8" s="11" t="s">
        <v>348</v>
      </c>
      <c r="G8" s="12">
        <f>G163</f>
        <v>0</v>
      </c>
      <c r="I8" s="12">
        <f>I163</f>
        <v>6.341719000000001</v>
      </c>
    </row>
    <row r="9" spans="1:9" ht="12.75">
      <c r="A9" s="8" t="s">
        <v>23</v>
      </c>
      <c r="C9" s="11" t="s">
        <v>26</v>
      </c>
      <c r="G9" s="12">
        <f>G174</f>
        <v>0</v>
      </c>
      <c r="I9" s="12"/>
    </row>
    <row r="10" spans="1:9" ht="12.75">
      <c r="A10" s="8" t="s">
        <v>25</v>
      </c>
      <c r="C10" s="11" t="s">
        <v>349</v>
      </c>
      <c r="G10" s="6">
        <f>G186</f>
        <v>0</v>
      </c>
      <c r="I10" s="6"/>
    </row>
    <row r="11" spans="2:9" ht="12.75">
      <c r="B11" s="8" t="s">
        <v>350</v>
      </c>
      <c r="C11" s="11" t="s">
        <v>32</v>
      </c>
      <c r="G11" s="5">
        <f>SUM(G6:G10)</f>
        <v>0</v>
      </c>
      <c r="I11" s="5">
        <f>SUM(I6:I10)</f>
        <v>29.08429104</v>
      </c>
    </row>
    <row r="12" spans="1:7" ht="12.75">
      <c r="A12" s="8" t="s">
        <v>27</v>
      </c>
      <c r="B12" s="8" t="s">
        <v>351</v>
      </c>
      <c r="C12" s="11" t="s">
        <v>35</v>
      </c>
      <c r="D12" s="8" t="s">
        <v>36</v>
      </c>
      <c r="E12" s="9">
        <f>I11</f>
        <v>29.08429104</v>
      </c>
      <c r="G12" s="6">
        <f>E12*F12</f>
        <v>0</v>
      </c>
    </row>
    <row r="13" spans="3:7" ht="12.75">
      <c r="C13" s="3" t="s">
        <v>8</v>
      </c>
      <c r="G13" s="7">
        <f>SUM(G11:G12)</f>
        <v>0</v>
      </c>
    </row>
    <row r="15" spans="3:7" ht="15.75">
      <c r="C15" s="10" t="s">
        <v>39</v>
      </c>
      <c r="G15" s="5"/>
    </row>
    <row r="16" spans="1:7" ht="12.75">
      <c r="A16" s="8" t="s">
        <v>17</v>
      </c>
      <c r="C16" t="s">
        <v>40</v>
      </c>
      <c r="D16" s="8" t="s">
        <v>41</v>
      </c>
      <c r="E16" s="9">
        <f>G13</f>
        <v>0</v>
      </c>
      <c r="F16" s="13">
        <v>0.023</v>
      </c>
      <c r="G16" s="5">
        <f>E16*F16</f>
        <v>0</v>
      </c>
    </row>
    <row r="17" spans="1:7" ht="12.75">
      <c r="A17" s="8" t="s">
        <v>19</v>
      </c>
      <c r="C17" t="s">
        <v>42</v>
      </c>
      <c r="D17" s="8" t="s">
        <v>41</v>
      </c>
      <c r="E17" s="9">
        <f>G13</f>
        <v>0</v>
      </c>
      <c r="F17" s="13">
        <v>0.032</v>
      </c>
      <c r="G17" s="6">
        <f>E17*F17</f>
        <v>0</v>
      </c>
    </row>
    <row r="18" spans="3:7" ht="12.75">
      <c r="C18" s="3" t="s">
        <v>8</v>
      </c>
      <c r="G18" s="7">
        <f>SUM(G16:G17)</f>
        <v>0</v>
      </c>
    </row>
    <row r="19" ht="12.75">
      <c r="G19" s="5"/>
    </row>
    <row r="20" spans="3:7" ht="15.75">
      <c r="C20" s="10" t="s">
        <v>8</v>
      </c>
      <c r="G20" s="7">
        <f>G13+G18</f>
        <v>0</v>
      </c>
    </row>
    <row r="21" spans="3:7" ht="15.75">
      <c r="C21" s="10" t="s">
        <v>9</v>
      </c>
      <c r="D21" s="8" t="s">
        <v>41</v>
      </c>
      <c r="E21" s="9">
        <f>G20</f>
        <v>0</v>
      </c>
      <c r="F21" s="9">
        <v>0.21</v>
      </c>
      <c r="G21" s="7">
        <f>E21*F21</f>
        <v>0</v>
      </c>
    </row>
    <row r="22" spans="3:7" ht="15.75">
      <c r="C22" s="10" t="s">
        <v>43</v>
      </c>
      <c r="G22" s="7">
        <f>SUM(G20:G21)</f>
        <v>0</v>
      </c>
    </row>
    <row r="35" spans="1:9" ht="12.75">
      <c r="A35" s="8" t="s">
        <v>44</v>
      </c>
      <c r="B35" s="8" t="s">
        <v>45</v>
      </c>
      <c r="C35" s="8" t="s">
        <v>46</v>
      </c>
      <c r="D35" s="8" t="s">
        <v>47</v>
      </c>
      <c r="E35" s="14" t="s">
        <v>48</v>
      </c>
      <c r="F35" s="14" t="s">
        <v>49</v>
      </c>
      <c r="G35" s="14" t="s">
        <v>8</v>
      </c>
      <c r="H35" s="8" t="s">
        <v>50</v>
      </c>
      <c r="I35" s="14" t="s">
        <v>51</v>
      </c>
    </row>
    <row r="37" spans="2:3" ht="12.75">
      <c r="B37" s="8" t="s">
        <v>52</v>
      </c>
      <c r="C37" s="2" t="s">
        <v>18</v>
      </c>
    </row>
    <row r="39" spans="1:3" ht="12.75">
      <c r="A39" s="8" t="s">
        <v>17</v>
      </c>
      <c r="B39" s="8" t="s">
        <v>352</v>
      </c>
      <c r="C39" t="s">
        <v>353</v>
      </c>
    </row>
    <row r="40" ht="12.75">
      <c r="C40" t="s">
        <v>354</v>
      </c>
    </row>
    <row r="41" spans="3:7" ht="12.75">
      <c r="C41" t="s">
        <v>355</v>
      </c>
      <c r="D41" s="8" t="s">
        <v>62</v>
      </c>
      <c r="E41" s="9">
        <f>1.2*1.81*6.8</f>
        <v>14.7696</v>
      </c>
      <c r="G41" s="9">
        <f>E41*F41</f>
        <v>0</v>
      </c>
    </row>
    <row r="42" ht="12.75">
      <c r="C42" t="s">
        <v>356</v>
      </c>
    </row>
    <row r="43" spans="3:7" ht="12.75">
      <c r="C43" t="s">
        <v>357</v>
      </c>
      <c r="D43" s="8" t="s">
        <v>62</v>
      </c>
      <c r="E43" s="9">
        <f>14.77*0.1</f>
        <v>1.477</v>
      </c>
      <c r="G43" s="9">
        <f>E43*F43</f>
        <v>0</v>
      </c>
    </row>
    <row r="44" ht="12.75">
      <c r="C44" t="s">
        <v>358</v>
      </c>
    </row>
    <row r="45" spans="3:7" ht="12.75">
      <c r="C45" t="s">
        <v>359</v>
      </c>
      <c r="D45" s="8" t="s">
        <v>62</v>
      </c>
      <c r="E45" s="18">
        <f>1*1.78*8</f>
        <v>14.24</v>
      </c>
      <c r="G45" s="9">
        <f>E45*F45</f>
        <v>0</v>
      </c>
    </row>
    <row r="46" spans="4:5" ht="12.75">
      <c r="D46" s="8" t="s">
        <v>62</v>
      </c>
      <c r="E46" s="9">
        <f>SUM(E41:E45)</f>
        <v>30.486600000000003</v>
      </c>
    </row>
    <row r="47" spans="3:7" ht="12.75">
      <c r="C47" t="s">
        <v>360</v>
      </c>
      <c r="D47" s="8" t="s">
        <v>62</v>
      </c>
      <c r="E47" s="9">
        <f>30.49*0.5</f>
        <v>15.245</v>
      </c>
      <c r="F47" s="9">
        <v>0</v>
      </c>
      <c r="G47" s="9">
        <f>E47*F47</f>
        <v>0</v>
      </c>
    </row>
    <row r="49" spans="1:3" ht="12.75">
      <c r="A49" s="8" t="s">
        <v>19</v>
      </c>
      <c r="B49" s="8" t="s">
        <v>361</v>
      </c>
      <c r="C49" t="s">
        <v>70</v>
      </c>
    </row>
    <row r="50" spans="3:7" ht="12.75">
      <c r="C50" t="s">
        <v>362</v>
      </c>
      <c r="D50" s="8" t="s">
        <v>62</v>
      </c>
      <c r="E50" s="9">
        <f>15.25*0.5</f>
        <v>7.625</v>
      </c>
      <c r="F50" s="9">
        <v>0</v>
      </c>
      <c r="G50" s="9">
        <f>E50*F50</f>
        <v>0</v>
      </c>
    </row>
    <row r="52" spans="1:5" ht="12.75">
      <c r="A52" s="8" t="s">
        <v>21</v>
      </c>
      <c r="B52" s="8" t="s">
        <v>363</v>
      </c>
      <c r="C52" t="s">
        <v>364</v>
      </c>
      <c r="E52" s="19"/>
    </row>
    <row r="53" spans="3:7" ht="12.75">
      <c r="C53" t="s">
        <v>360</v>
      </c>
      <c r="D53" s="8" t="s">
        <v>62</v>
      </c>
      <c r="E53" s="9">
        <f>30.49*0.5</f>
        <v>15.245</v>
      </c>
      <c r="F53" s="9">
        <v>0</v>
      </c>
      <c r="G53" s="9">
        <f>E53*F53</f>
        <v>0</v>
      </c>
    </row>
    <row r="55" spans="1:3" ht="12.75">
      <c r="A55" s="8" t="s">
        <v>23</v>
      </c>
      <c r="B55" s="8" t="s">
        <v>365</v>
      </c>
      <c r="C55" t="s">
        <v>75</v>
      </c>
    </row>
    <row r="56" spans="3:7" ht="12.75">
      <c r="C56" t="s">
        <v>362</v>
      </c>
      <c r="D56" s="8" t="s">
        <v>62</v>
      </c>
      <c r="E56" s="9">
        <f>15.25*0.5</f>
        <v>7.625</v>
      </c>
      <c r="F56" s="9">
        <v>0</v>
      </c>
      <c r="G56" s="9">
        <f>E56*F56</f>
        <v>0</v>
      </c>
    </row>
    <row r="58" spans="1:3" ht="12.75">
      <c r="A58" s="8" t="s">
        <v>25</v>
      </c>
      <c r="B58" s="8" t="s">
        <v>366</v>
      </c>
      <c r="C58" t="s">
        <v>367</v>
      </c>
    </row>
    <row r="59" spans="3:9" ht="12.75">
      <c r="C59" t="s">
        <v>368</v>
      </c>
      <c r="D59" s="8" t="s">
        <v>84</v>
      </c>
      <c r="E59" s="9">
        <f>1.81*6.8*2+1.78*8*2</f>
        <v>53.096000000000004</v>
      </c>
      <c r="F59" s="9">
        <v>0</v>
      </c>
      <c r="G59" s="9">
        <f>E59*F59</f>
        <v>0</v>
      </c>
      <c r="H59">
        <v>0.00084</v>
      </c>
      <c r="I59" s="9">
        <f>E59*H59</f>
        <v>0.044600640000000004</v>
      </c>
    </row>
    <row r="61" spans="1:7" ht="12.75">
      <c r="A61" s="8" t="s">
        <v>27</v>
      </c>
      <c r="B61" s="8" t="s">
        <v>369</v>
      </c>
      <c r="C61" t="s">
        <v>370</v>
      </c>
      <c r="D61" s="8" t="s">
        <v>84</v>
      </c>
      <c r="E61" s="9">
        <v>53.1</v>
      </c>
      <c r="F61" s="9">
        <v>0</v>
      </c>
      <c r="G61" s="9">
        <f>E61*F61</f>
        <v>0</v>
      </c>
    </row>
    <row r="63" spans="1:7" ht="12.75">
      <c r="A63" s="8" t="s">
        <v>29</v>
      </c>
      <c r="B63" s="8" t="s">
        <v>371</v>
      </c>
      <c r="C63" t="s">
        <v>372</v>
      </c>
      <c r="D63" s="8" t="s">
        <v>62</v>
      </c>
      <c r="E63" s="9">
        <v>30.49</v>
      </c>
      <c r="F63" s="9">
        <v>0</v>
      </c>
      <c r="G63" s="9">
        <f>E63*F63</f>
        <v>0</v>
      </c>
    </row>
    <row r="65" spans="1:3" ht="12.75">
      <c r="A65" s="8" t="s">
        <v>33</v>
      </c>
      <c r="B65" s="8" t="s">
        <v>373</v>
      </c>
      <c r="C65" t="s">
        <v>374</v>
      </c>
    </row>
    <row r="66" spans="3:7" ht="12.75">
      <c r="C66" t="s">
        <v>375</v>
      </c>
      <c r="D66" s="8" t="s">
        <v>62</v>
      </c>
      <c r="E66" s="9">
        <f>1.2*0.6*(6.8+1.2)+1*0.45*(8+1.2)</f>
        <v>9.899999999999999</v>
      </c>
      <c r="G66" s="9">
        <f>E66*F66</f>
        <v>0</v>
      </c>
    </row>
    <row r="67" spans="3:7" ht="12.75">
      <c r="C67" t="s">
        <v>376</v>
      </c>
      <c r="D67" s="8" t="s">
        <v>62</v>
      </c>
      <c r="E67" s="18">
        <f>0.16*0.16*3.14*(6.8+1.2)*-1</f>
        <v>-0.6430720000000001</v>
      </c>
      <c r="G67" s="9">
        <f>E67*F67</f>
        <v>0</v>
      </c>
    </row>
    <row r="68" spans="4:6" ht="12.75">
      <c r="D68" s="8" t="s">
        <v>62</v>
      </c>
      <c r="E68" s="9">
        <f>SUM(E66:E67)</f>
        <v>9.256927999999998</v>
      </c>
      <c r="F68" s="9">
        <v>0</v>
      </c>
    </row>
    <row r="71" ht="12.75">
      <c r="B71" s="8" t="s">
        <v>105</v>
      </c>
    </row>
    <row r="72" spans="1:3" ht="12.75">
      <c r="A72" s="8" t="s">
        <v>37</v>
      </c>
      <c r="B72" s="16">
        <v>583313400</v>
      </c>
      <c r="C72" t="s">
        <v>209</v>
      </c>
    </row>
    <row r="73" spans="3:9" ht="12.75">
      <c r="C73" t="s">
        <v>377</v>
      </c>
      <c r="D73" s="8" t="s">
        <v>36</v>
      </c>
      <c r="E73" s="9">
        <f>8.14*1.67*1.23</f>
        <v>16.720374</v>
      </c>
      <c r="F73" s="9">
        <v>0</v>
      </c>
      <c r="G73" s="9">
        <f>E73*F73</f>
        <v>0</v>
      </c>
      <c r="H73">
        <v>1</v>
      </c>
      <c r="I73" s="9">
        <f>E73*H73</f>
        <v>16.720374</v>
      </c>
    </row>
    <row r="75" spans="1:3" ht="12.75">
      <c r="A75" s="8" t="s">
        <v>101</v>
      </c>
      <c r="B75" s="8" t="s">
        <v>378</v>
      </c>
      <c r="C75" t="s">
        <v>379</v>
      </c>
    </row>
    <row r="76" spans="3:7" ht="12.75">
      <c r="C76" t="s">
        <v>380</v>
      </c>
      <c r="D76" s="8" t="s">
        <v>62</v>
      </c>
      <c r="E76" s="9">
        <v>30.49</v>
      </c>
      <c r="G76" s="9">
        <f>E76*F76</f>
        <v>0</v>
      </c>
    </row>
    <row r="77" ht="12.75">
      <c r="C77" t="s">
        <v>381</v>
      </c>
    </row>
    <row r="78" spans="3:7" ht="12.75">
      <c r="C78" t="s">
        <v>382</v>
      </c>
      <c r="D78" s="8" t="s">
        <v>62</v>
      </c>
      <c r="E78" s="9">
        <f>1.2*0.75*6.8*-1+1*0.6*8*-1</f>
        <v>-10.919999999999998</v>
      </c>
      <c r="G78" s="9">
        <f>E78*F78</f>
        <v>0</v>
      </c>
    </row>
    <row r="79" spans="3:5" ht="12.75">
      <c r="C79" t="s">
        <v>383</v>
      </c>
      <c r="E79" s="19"/>
    </row>
    <row r="80" spans="3:7" ht="12.75">
      <c r="C80" t="s">
        <v>384</v>
      </c>
      <c r="D80" s="8" t="s">
        <v>62</v>
      </c>
      <c r="E80" s="18">
        <f>0.32*0.32*3.14*1.8*-1+0.74*0.74*3.14*1.62*-1</f>
        <v>-3.36429648</v>
      </c>
      <c r="G80" s="9">
        <f>E80*F80</f>
        <v>0</v>
      </c>
    </row>
    <row r="81" spans="4:6" ht="12.75">
      <c r="D81" s="8" t="s">
        <v>62</v>
      </c>
      <c r="E81" s="9">
        <f>SUM(E76:E80)</f>
        <v>16.20570352</v>
      </c>
      <c r="F81" s="9">
        <v>0</v>
      </c>
    </row>
    <row r="83" spans="1:3" ht="12.75">
      <c r="A83" s="8" t="s">
        <v>106</v>
      </c>
      <c r="B83" s="8" t="s">
        <v>138</v>
      </c>
      <c r="C83" t="s">
        <v>139</v>
      </c>
    </row>
    <row r="84" spans="3:7" ht="12.75">
      <c r="C84" t="s">
        <v>385</v>
      </c>
      <c r="D84" s="8" t="s">
        <v>62</v>
      </c>
      <c r="E84" s="9">
        <v>30.49</v>
      </c>
      <c r="G84" s="9">
        <f>E84*F84</f>
        <v>0</v>
      </c>
    </row>
    <row r="85" spans="3:7" ht="12.75">
      <c r="C85" t="s">
        <v>386</v>
      </c>
      <c r="D85" s="8" t="s">
        <v>62</v>
      </c>
      <c r="E85" s="18">
        <v>16.21</v>
      </c>
      <c r="G85" s="9">
        <f>E85*F85</f>
        <v>0</v>
      </c>
    </row>
    <row r="86" spans="4:6" ht="12.75">
      <c r="D86" s="8" t="s">
        <v>62</v>
      </c>
      <c r="E86" s="9">
        <f>SUM(E84:E85)</f>
        <v>46.7</v>
      </c>
      <c r="F86" s="9">
        <v>0</v>
      </c>
    </row>
    <row r="88" spans="1:7" ht="12.75">
      <c r="A88" s="8" t="s">
        <v>109</v>
      </c>
      <c r="B88" s="8" t="s">
        <v>162</v>
      </c>
      <c r="C88" t="s">
        <v>163</v>
      </c>
      <c r="G88" s="20"/>
    </row>
    <row r="89" spans="3:9" ht="13.5" thickBot="1">
      <c r="C89" t="s">
        <v>387</v>
      </c>
      <c r="D89" s="8" t="s">
        <v>62</v>
      </c>
      <c r="E89" s="9">
        <v>16.21</v>
      </c>
      <c r="F89" s="9">
        <v>0</v>
      </c>
      <c r="G89" s="21">
        <f>E89*F89</f>
        <v>0</v>
      </c>
      <c r="I89" s="21"/>
    </row>
    <row r="90" spans="3:9" ht="12.75">
      <c r="C90" s="3" t="s">
        <v>8</v>
      </c>
      <c r="G90" s="22">
        <f>SUM(G41:G89)</f>
        <v>0</v>
      </c>
      <c r="I90" s="9">
        <f>SUM(I40:I89)</f>
        <v>16.76497464</v>
      </c>
    </row>
    <row r="92" spans="2:3" ht="12.75">
      <c r="B92" s="8" t="s">
        <v>350</v>
      </c>
      <c r="C92" s="2" t="s">
        <v>347</v>
      </c>
    </row>
    <row r="94" spans="1:3" ht="12.75">
      <c r="A94" s="8" t="s">
        <v>17</v>
      </c>
      <c r="B94" s="8" t="s">
        <v>388</v>
      </c>
      <c r="C94" t="s">
        <v>389</v>
      </c>
    </row>
    <row r="95" spans="3:9" ht="12.75">
      <c r="C95" t="s">
        <v>390</v>
      </c>
      <c r="D95" s="8" t="s">
        <v>62</v>
      </c>
      <c r="E95" s="9">
        <f>1.2*0.15*(6.8+1.2)+1*0.15*(8+1.2)</f>
        <v>2.82</v>
      </c>
      <c r="F95" s="9">
        <v>0</v>
      </c>
      <c r="G95" s="20">
        <f>E95*F95</f>
        <v>0</v>
      </c>
      <c r="H95">
        <v>1.89077</v>
      </c>
      <c r="I95" s="20">
        <f>E95*H95</f>
        <v>5.3319714</v>
      </c>
    </row>
    <row r="96" spans="7:9" ht="12.75">
      <c r="G96" s="20"/>
      <c r="I96" s="20"/>
    </row>
    <row r="97" spans="1:3" ht="12.75">
      <c r="A97" s="8" t="s">
        <v>19</v>
      </c>
      <c r="B97" s="8" t="s">
        <v>391</v>
      </c>
      <c r="C97" t="s">
        <v>392</v>
      </c>
    </row>
    <row r="98" ht="12.75">
      <c r="C98" t="s">
        <v>393</v>
      </c>
    </row>
    <row r="99" spans="3:9" ht="13.5" thickBot="1">
      <c r="C99" t="s">
        <v>394</v>
      </c>
      <c r="D99" s="8" t="s">
        <v>62</v>
      </c>
      <c r="E99" s="9">
        <f>1.7*1.7*0.1</f>
        <v>0.289</v>
      </c>
      <c r="F99" s="9">
        <v>0</v>
      </c>
      <c r="G99" s="21">
        <f>E99*F99</f>
        <v>0</v>
      </c>
      <c r="H99">
        <v>2.234</v>
      </c>
      <c r="I99" s="21">
        <f>E99*H99</f>
        <v>0.6456259999999999</v>
      </c>
    </row>
    <row r="100" spans="3:9" ht="12.75">
      <c r="C100" s="3" t="s">
        <v>8</v>
      </c>
      <c r="G100" s="22">
        <f>SUM(G95:G99)</f>
        <v>0</v>
      </c>
      <c r="I100" s="9">
        <f>SUM(I95:I99)</f>
        <v>5.9775974</v>
      </c>
    </row>
    <row r="102" spans="2:3" ht="12.75">
      <c r="B102" s="8" t="s">
        <v>350</v>
      </c>
      <c r="C102" s="2" t="s">
        <v>348</v>
      </c>
    </row>
    <row r="104" spans="1:3" ht="12.75">
      <c r="A104" s="8" t="s">
        <v>17</v>
      </c>
      <c r="B104" s="8" t="s">
        <v>395</v>
      </c>
      <c r="C104" t="s">
        <v>396</v>
      </c>
    </row>
    <row r="105" spans="3:7" ht="12.75">
      <c r="C105" t="s">
        <v>397</v>
      </c>
      <c r="D105" s="8" t="s">
        <v>78</v>
      </c>
      <c r="E105" s="9">
        <v>8</v>
      </c>
      <c r="F105" s="9">
        <v>0</v>
      </c>
      <c r="G105" s="20">
        <f>E105*F105</f>
        <v>0</v>
      </c>
    </row>
    <row r="107" ht="12.75">
      <c r="B107" s="8" t="s">
        <v>105</v>
      </c>
    </row>
    <row r="108" spans="1:9" ht="12.75">
      <c r="A108" s="8" t="s">
        <v>19</v>
      </c>
      <c r="B108" s="16">
        <v>552530030</v>
      </c>
      <c r="C108" t="s">
        <v>398</v>
      </c>
      <c r="D108" s="8" t="s">
        <v>78</v>
      </c>
      <c r="E108" s="9">
        <v>8.08</v>
      </c>
      <c r="F108" s="9">
        <v>0</v>
      </c>
      <c r="G108" s="20">
        <f>E108*F108</f>
        <v>0</v>
      </c>
      <c r="H108">
        <v>0.0265</v>
      </c>
      <c r="I108" s="9">
        <f>E108*H108</f>
        <v>0.21412</v>
      </c>
    </row>
    <row r="110" spans="1:3" ht="12.75">
      <c r="A110" s="8" t="s">
        <v>21</v>
      </c>
      <c r="B110" s="8" t="s">
        <v>399</v>
      </c>
      <c r="C110" t="s">
        <v>400</v>
      </c>
    </row>
    <row r="111" spans="3:7" ht="12.75">
      <c r="C111" t="s">
        <v>397</v>
      </c>
      <c r="D111" s="8" t="s">
        <v>259</v>
      </c>
      <c r="E111" s="9">
        <v>4</v>
      </c>
      <c r="F111" s="9">
        <v>0</v>
      </c>
      <c r="G111" s="20">
        <f>E111*F111</f>
        <v>0</v>
      </c>
    </row>
    <row r="112" ht="12.75">
      <c r="B112" s="8" t="s">
        <v>105</v>
      </c>
    </row>
    <row r="113" spans="1:9" ht="12.75">
      <c r="A113" s="8" t="s">
        <v>23</v>
      </c>
      <c r="B113" s="16">
        <v>552594140</v>
      </c>
      <c r="C113" t="s">
        <v>401</v>
      </c>
      <c r="D113" s="8" t="s">
        <v>259</v>
      </c>
      <c r="E113" s="9">
        <v>1.01</v>
      </c>
      <c r="F113" s="9">
        <v>0</v>
      </c>
      <c r="G113" s="20">
        <f>E113*F113</f>
        <v>0</v>
      </c>
      <c r="H113">
        <v>0.0126</v>
      </c>
      <c r="I113" s="9">
        <f>E113*H113</f>
        <v>0.012726</v>
      </c>
    </row>
    <row r="115" spans="1:9" ht="12.75">
      <c r="A115" s="8" t="s">
        <v>25</v>
      </c>
      <c r="B115" s="16">
        <v>552594730</v>
      </c>
      <c r="C115" t="s">
        <v>402</v>
      </c>
      <c r="D115" s="8" t="s">
        <v>259</v>
      </c>
      <c r="E115" s="9">
        <v>2.02</v>
      </c>
      <c r="F115" s="9">
        <v>0</v>
      </c>
      <c r="G115" s="20">
        <f>E115*F115</f>
        <v>0</v>
      </c>
      <c r="H115">
        <v>0.0164</v>
      </c>
      <c r="I115" s="9">
        <f>E115*H115</f>
        <v>0.033128000000000005</v>
      </c>
    </row>
    <row r="116" ht="12.75">
      <c r="F116" s="9">
        <v>0</v>
      </c>
    </row>
    <row r="117" spans="1:9" ht="12.75">
      <c r="A117" s="8" t="s">
        <v>27</v>
      </c>
      <c r="B117" s="16">
        <v>552594850</v>
      </c>
      <c r="C117" t="s">
        <v>403</v>
      </c>
      <c r="D117" s="8" t="s">
        <v>259</v>
      </c>
      <c r="E117" s="9">
        <v>1.01</v>
      </c>
      <c r="G117" s="20">
        <f>E117*F117</f>
        <v>0</v>
      </c>
      <c r="H117">
        <v>0.0181</v>
      </c>
      <c r="I117" s="9">
        <f>E117*H117</f>
        <v>0.018281000000000002</v>
      </c>
    </row>
    <row r="119" spans="1:3" ht="12.75">
      <c r="A119" s="8" t="s">
        <v>29</v>
      </c>
      <c r="B119" s="16">
        <v>552911240</v>
      </c>
      <c r="C119" t="s">
        <v>404</v>
      </c>
    </row>
    <row r="120" spans="3:9" ht="12.75">
      <c r="C120" t="s">
        <v>405</v>
      </c>
      <c r="D120" s="8" t="s">
        <v>259</v>
      </c>
      <c r="E120" s="9">
        <f>8*1.02</f>
        <v>8.16</v>
      </c>
      <c r="F120" s="9">
        <v>0</v>
      </c>
      <c r="G120" s="20">
        <f>E120*F120</f>
        <v>0</v>
      </c>
      <c r="H120">
        <v>0.0006</v>
      </c>
      <c r="I120" s="9">
        <f>E120*H120</f>
        <v>0.004895999999999999</v>
      </c>
    </row>
    <row r="121" ht="12.75">
      <c r="F121" s="9">
        <v>0</v>
      </c>
    </row>
    <row r="122" spans="1:7" ht="12.75">
      <c r="A122" s="8" t="s">
        <v>33</v>
      </c>
      <c r="B122" s="8" t="s">
        <v>406</v>
      </c>
      <c r="C122" t="s">
        <v>407</v>
      </c>
      <c r="D122" s="8" t="s">
        <v>78</v>
      </c>
      <c r="E122" s="9">
        <v>8</v>
      </c>
      <c r="F122" s="9">
        <v>0</v>
      </c>
      <c r="G122" s="20">
        <f>E122*F122</f>
        <v>0</v>
      </c>
    </row>
    <row r="124" spans="1:3" ht="12.75">
      <c r="A124" s="8" t="s">
        <v>37</v>
      </c>
      <c r="B124" s="8" t="s">
        <v>408</v>
      </c>
      <c r="C124" t="s">
        <v>409</v>
      </c>
    </row>
    <row r="125" spans="3:9" ht="12.75">
      <c r="C125" t="s">
        <v>410</v>
      </c>
      <c r="D125" s="8" t="s">
        <v>259</v>
      </c>
      <c r="E125" s="9">
        <v>2</v>
      </c>
      <c r="F125" s="9">
        <v>0</v>
      </c>
      <c r="G125" s="20">
        <f>E125*F125</f>
        <v>0</v>
      </c>
      <c r="H125">
        <v>0.46005</v>
      </c>
      <c r="I125" s="9">
        <f>E125*H125</f>
        <v>0.9201</v>
      </c>
    </row>
    <row r="127" spans="1:7" ht="12.75">
      <c r="A127" s="8" t="s">
        <v>101</v>
      </c>
      <c r="C127" t="s">
        <v>411</v>
      </c>
      <c r="D127" s="8" t="s">
        <v>412</v>
      </c>
      <c r="E127" s="9">
        <v>1</v>
      </c>
      <c r="F127" s="9">
        <v>0</v>
      </c>
      <c r="G127" s="20">
        <f>E127*F127</f>
        <v>0</v>
      </c>
    </row>
    <row r="129" spans="1:3" ht="12.75">
      <c r="A129" s="8" t="s">
        <v>106</v>
      </c>
      <c r="B129" s="8" t="s">
        <v>413</v>
      </c>
      <c r="C129" t="s">
        <v>414</v>
      </c>
    </row>
    <row r="130" spans="3:9" ht="12.75">
      <c r="C130" t="s">
        <v>415</v>
      </c>
      <c r="D130" s="8" t="s">
        <v>78</v>
      </c>
      <c r="E130" s="9">
        <v>6.8</v>
      </c>
      <c r="F130" s="9">
        <v>0</v>
      </c>
      <c r="G130" s="20">
        <f>E130*F130</f>
        <v>0</v>
      </c>
      <c r="H130">
        <v>0.01146</v>
      </c>
      <c r="I130" s="9">
        <f>E130*H130</f>
        <v>0.077928</v>
      </c>
    </row>
    <row r="132" spans="1:9" ht="12.75">
      <c r="A132" s="8" t="s">
        <v>109</v>
      </c>
      <c r="B132" s="8" t="s">
        <v>416</v>
      </c>
      <c r="C132" t="s">
        <v>417</v>
      </c>
      <c r="D132" s="8" t="s">
        <v>259</v>
      </c>
      <c r="E132" s="9">
        <v>1</v>
      </c>
      <c r="F132" s="9">
        <v>0</v>
      </c>
      <c r="G132" s="20">
        <f>E132*F132</f>
        <v>0</v>
      </c>
      <c r="H132">
        <v>0.11045</v>
      </c>
      <c r="I132" s="9">
        <f>E132*H132</f>
        <v>0.11045</v>
      </c>
    </row>
    <row r="134" spans="1:9" ht="12.75">
      <c r="A134" s="8" t="s">
        <v>113</v>
      </c>
      <c r="B134" s="8" t="s">
        <v>418</v>
      </c>
      <c r="C134" t="s">
        <v>419</v>
      </c>
      <c r="D134" s="8" t="s">
        <v>259</v>
      </c>
      <c r="E134" s="9">
        <v>1</v>
      </c>
      <c r="F134" s="9">
        <v>0</v>
      </c>
      <c r="G134" s="20">
        <f>E134*F134</f>
        <v>0</v>
      </c>
      <c r="H134">
        <v>0.02424</v>
      </c>
      <c r="I134" s="9">
        <f>E134*H134</f>
        <v>0.02424</v>
      </c>
    </row>
    <row r="135" ht="12.75">
      <c r="G135" s="20"/>
    </row>
    <row r="136" spans="1:7" ht="12.75">
      <c r="A136" s="8" t="s">
        <v>117</v>
      </c>
      <c r="B136" s="8" t="s">
        <v>420</v>
      </c>
      <c r="C136" t="s">
        <v>421</v>
      </c>
      <c r="D136" s="8" t="s">
        <v>259</v>
      </c>
      <c r="E136" s="9">
        <v>1</v>
      </c>
      <c r="F136" s="9">
        <v>0</v>
      </c>
      <c r="G136" s="20">
        <f>E136*F136</f>
        <v>0</v>
      </c>
    </row>
    <row r="138" spans="1:7" ht="12.75">
      <c r="A138" s="8" t="s">
        <v>123</v>
      </c>
      <c r="B138" s="8" t="s">
        <v>422</v>
      </c>
      <c r="C138" t="s">
        <v>423</v>
      </c>
      <c r="G138" s="20"/>
    </row>
    <row r="139" spans="3:9" ht="12.75">
      <c r="C139" t="s">
        <v>424</v>
      </c>
      <c r="D139" s="8" t="s">
        <v>259</v>
      </c>
      <c r="E139" s="9">
        <v>1</v>
      </c>
      <c r="F139" s="9">
        <v>0</v>
      </c>
      <c r="G139" s="20">
        <f>E139*F139</f>
        <v>0</v>
      </c>
      <c r="H139">
        <v>0.18785</v>
      </c>
      <c r="I139" s="20">
        <f>E139*H139</f>
        <v>0.18785</v>
      </c>
    </row>
    <row r="140" spans="7:9" ht="12.75">
      <c r="G140" s="20"/>
      <c r="I140" s="20"/>
    </row>
    <row r="141" spans="1:9" ht="12.75">
      <c r="A141" s="8" t="s">
        <v>127</v>
      </c>
      <c r="B141" s="8" t="s">
        <v>425</v>
      </c>
      <c r="C141" t="s">
        <v>426</v>
      </c>
      <c r="D141" s="8" t="s">
        <v>259</v>
      </c>
      <c r="E141" s="9">
        <v>1</v>
      </c>
      <c r="F141" s="9">
        <v>0</v>
      </c>
      <c r="G141" s="20">
        <f>E141*F141</f>
        <v>0</v>
      </c>
      <c r="H141">
        <v>0.03903</v>
      </c>
      <c r="I141" s="20">
        <f>E141*H141</f>
        <v>0.03903</v>
      </c>
    </row>
    <row r="142" spans="7:9" ht="12.75">
      <c r="G142" s="20"/>
      <c r="I142" s="20"/>
    </row>
    <row r="143" spans="1:9" ht="12.75">
      <c r="A143" s="8" t="s">
        <v>131</v>
      </c>
      <c r="C143" t="s">
        <v>427</v>
      </c>
      <c r="D143" s="8" t="s">
        <v>259</v>
      </c>
      <c r="E143" s="9">
        <v>1.01</v>
      </c>
      <c r="F143" s="9">
        <v>0</v>
      </c>
      <c r="G143" s="20">
        <f>E143*F143</f>
        <v>0</v>
      </c>
      <c r="H143">
        <v>0.509</v>
      </c>
      <c r="I143" s="20">
        <f>E143*H143</f>
        <v>0.51409</v>
      </c>
    </row>
    <row r="144" spans="7:9" ht="12.75">
      <c r="G144" s="20"/>
      <c r="I144" s="20"/>
    </row>
    <row r="145" spans="1:9" ht="12.75">
      <c r="A145" s="8" t="s">
        <v>134</v>
      </c>
      <c r="B145" s="8" t="s">
        <v>428</v>
      </c>
      <c r="C145" t="s">
        <v>429</v>
      </c>
      <c r="D145" s="8" t="s">
        <v>259</v>
      </c>
      <c r="E145" s="9">
        <v>1</v>
      </c>
      <c r="F145" s="9">
        <v>0</v>
      </c>
      <c r="G145" s="20">
        <f>E145*F145</f>
        <v>0</v>
      </c>
      <c r="H145">
        <v>0.02753</v>
      </c>
      <c r="I145" s="20">
        <f>E145*H145</f>
        <v>0.02753</v>
      </c>
    </row>
    <row r="146" spans="7:9" ht="12.75">
      <c r="G146" s="20"/>
      <c r="I146" s="20"/>
    </row>
    <row r="147" spans="1:9" ht="12.75">
      <c r="A147" s="8" t="s">
        <v>137</v>
      </c>
      <c r="C147" t="s">
        <v>430</v>
      </c>
      <c r="D147" s="8" t="s">
        <v>259</v>
      </c>
      <c r="E147" s="9">
        <v>1.01</v>
      </c>
      <c r="F147" s="9">
        <v>0</v>
      </c>
      <c r="G147" s="20">
        <f>E147*F147</f>
        <v>0</v>
      </c>
      <c r="H147">
        <v>3.3850000000000002</v>
      </c>
      <c r="I147" s="20">
        <f>E147*H147</f>
        <v>3.4188500000000004</v>
      </c>
    </row>
    <row r="148" spans="7:9" ht="12.75">
      <c r="G148" s="20"/>
      <c r="I148" s="20"/>
    </row>
    <row r="149" spans="1:9" ht="12.75">
      <c r="A149" s="8" t="s">
        <v>147</v>
      </c>
      <c r="B149" s="8" t="s">
        <v>431</v>
      </c>
      <c r="C149" t="s">
        <v>432</v>
      </c>
      <c r="D149" s="8" t="s">
        <v>259</v>
      </c>
      <c r="E149" s="9">
        <v>1</v>
      </c>
      <c r="F149" s="9">
        <v>0</v>
      </c>
      <c r="G149" s="20">
        <f>E149*F149</f>
        <v>0</v>
      </c>
      <c r="H149">
        <v>0.00702</v>
      </c>
      <c r="I149" s="20">
        <f>E149*H149</f>
        <v>0.00702</v>
      </c>
    </row>
    <row r="150" spans="2:9" ht="12.75">
      <c r="B150" s="8" t="s">
        <v>105</v>
      </c>
      <c r="G150" s="20"/>
      <c r="I150" s="20"/>
    </row>
    <row r="151" spans="1:9" ht="12.75">
      <c r="A151" s="8" t="s">
        <v>152</v>
      </c>
      <c r="B151" s="16">
        <v>552434440</v>
      </c>
      <c r="C151" t="s">
        <v>433</v>
      </c>
      <c r="D151" s="8" t="s">
        <v>259</v>
      </c>
      <c r="E151" s="9">
        <v>1</v>
      </c>
      <c r="F151" s="9">
        <v>0</v>
      </c>
      <c r="G151" s="20">
        <f>E151*F151</f>
        <v>0</v>
      </c>
      <c r="H151">
        <v>0.08</v>
      </c>
      <c r="I151" s="20">
        <f>E151*H151</f>
        <v>0.08</v>
      </c>
    </row>
    <row r="152" spans="7:9" ht="12.75">
      <c r="G152" s="20"/>
      <c r="I152" s="20"/>
    </row>
    <row r="153" spans="1:9" ht="12.75">
      <c r="A153" s="8" t="s">
        <v>157</v>
      </c>
      <c r="B153" s="8" t="s">
        <v>434</v>
      </c>
      <c r="C153" t="s">
        <v>435</v>
      </c>
      <c r="D153" s="8" t="s">
        <v>259</v>
      </c>
      <c r="E153" s="9">
        <v>2</v>
      </c>
      <c r="F153" s="9">
        <v>0</v>
      </c>
      <c r="G153" s="20">
        <f>E153*F153</f>
        <v>0</v>
      </c>
      <c r="H153">
        <v>0.115</v>
      </c>
      <c r="I153" s="20">
        <f>E153*H153</f>
        <v>0.23</v>
      </c>
    </row>
    <row r="154" spans="2:9" ht="12.75">
      <c r="B154" s="8" t="s">
        <v>105</v>
      </c>
      <c r="G154" s="20"/>
      <c r="I154" s="20"/>
    </row>
    <row r="155" spans="1:9" ht="12.75">
      <c r="A155" s="8" t="s">
        <v>161</v>
      </c>
      <c r="B155" s="16">
        <v>422913520</v>
      </c>
      <c r="C155" t="s">
        <v>436</v>
      </c>
      <c r="D155" s="8" t="s">
        <v>259</v>
      </c>
      <c r="E155" s="9">
        <v>2</v>
      </c>
      <c r="F155" s="9">
        <v>0</v>
      </c>
      <c r="G155" s="20">
        <f>E155*F155</f>
        <v>0</v>
      </c>
      <c r="H155">
        <v>0.0133</v>
      </c>
      <c r="I155" s="20">
        <f>E155*H155</f>
        <v>0.0266</v>
      </c>
    </row>
    <row r="156" spans="7:9" ht="12.75">
      <c r="G156" s="20"/>
      <c r="I156" s="20"/>
    </row>
    <row r="157" spans="1:9" ht="12.75">
      <c r="A157" s="8" t="s">
        <v>166</v>
      </c>
      <c r="B157" s="8" t="s">
        <v>437</v>
      </c>
      <c r="C157" t="s">
        <v>438</v>
      </c>
      <c r="D157" s="8" t="s">
        <v>259</v>
      </c>
      <c r="E157" s="9">
        <v>2</v>
      </c>
      <c r="F157" s="9">
        <v>0</v>
      </c>
      <c r="G157" s="20">
        <f>E157*F157</f>
        <v>0</v>
      </c>
      <c r="H157">
        <v>0.05034</v>
      </c>
      <c r="I157" s="20">
        <f>E157*H157</f>
        <v>0.10068</v>
      </c>
    </row>
    <row r="158" spans="7:9" ht="12.75">
      <c r="G158" s="20"/>
      <c r="I158" s="20"/>
    </row>
    <row r="159" spans="1:9" ht="12.75">
      <c r="A159" s="8" t="s">
        <v>170</v>
      </c>
      <c r="C159" t="s">
        <v>439</v>
      </c>
      <c r="G159" s="20"/>
      <c r="I159" s="20"/>
    </row>
    <row r="160" spans="3:9" ht="12.75">
      <c r="C160" t="s">
        <v>440</v>
      </c>
      <c r="D160" s="8" t="s">
        <v>259</v>
      </c>
      <c r="E160" s="9">
        <v>2</v>
      </c>
      <c r="F160" s="9">
        <v>0</v>
      </c>
      <c r="G160" s="20">
        <f>E160*F160</f>
        <v>0</v>
      </c>
      <c r="H160">
        <v>0.1471</v>
      </c>
      <c r="I160" s="20">
        <f>E160*H160</f>
        <v>0.2942</v>
      </c>
    </row>
    <row r="161" spans="7:9" ht="12.75">
      <c r="G161" s="20"/>
      <c r="I161" s="20"/>
    </row>
    <row r="162" spans="1:9" ht="13.5" thickBot="1">
      <c r="A162" s="8" t="s">
        <v>175</v>
      </c>
      <c r="B162" s="16"/>
      <c r="C162" t="s">
        <v>441</v>
      </c>
      <c r="D162" s="8" t="s">
        <v>78</v>
      </c>
      <c r="E162" s="9">
        <v>6.8</v>
      </c>
      <c r="F162" s="9">
        <v>0</v>
      </c>
      <c r="G162" s="21">
        <f>E162*F162</f>
        <v>0</v>
      </c>
      <c r="I162" s="21"/>
    </row>
    <row r="163" spans="3:9" ht="12.75">
      <c r="C163" s="3" t="s">
        <v>8</v>
      </c>
      <c r="G163" s="22">
        <f>SUM(G104:G162)</f>
        <v>0</v>
      </c>
      <c r="I163" s="9">
        <f>SUM(I105:I162)</f>
        <v>6.341719000000001</v>
      </c>
    </row>
    <row r="165" spans="2:3" ht="12.75">
      <c r="B165" s="8" t="s">
        <v>262</v>
      </c>
      <c r="C165" s="2" t="s">
        <v>26</v>
      </c>
    </row>
    <row r="166" ht="12.75">
      <c r="C166" s="24"/>
    </row>
    <row r="167" spans="1:7" ht="12.75">
      <c r="A167" s="8" t="s">
        <v>17</v>
      </c>
      <c r="B167" s="8" t="s">
        <v>442</v>
      </c>
      <c r="C167" t="s">
        <v>443</v>
      </c>
      <c r="D167" s="8" t="s">
        <v>78</v>
      </c>
      <c r="E167" s="9">
        <v>8.5</v>
      </c>
      <c r="F167" s="9">
        <v>0</v>
      </c>
      <c r="G167" s="20">
        <f>E167*F167</f>
        <v>0</v>
      </c>
    </row>
    <row r="168" ht="12.75">
      <c r="G168" s="20"/>
    </row>
    <row r="169" spans="1:3" ht="12.75">
      <c r="A169" s="8" t="s">
        <v>19</v>
      </c>
      <c r="B169" s="8" t="s">
        <v>271</v>
      </c>
      <c r="C169" t="s">
        <v>444</v>
      </c>
    </row>
    <row r="170" spans="3:7" ht="12.75">
      <c r="C170" t="s">
        <v>445</v>
      </c>
      <c r="D170" s="8" t="s">
        <v>36</v>
      </c>
      <c r="E170" s="9">
        <f>0.063*8.5</f>
        <v>0.5355</v>
      </c>
      <c r="F170" s="9">
        <v>0</v>
      </c>
      <c r="G170" s="20">
        <f>E170*F170</f>
        <v>0</v>
      </c>
    </row>
    <row r="171" ht="12.75">
      <c r="G171" s="20"/>
    </row>
    <row r="172" spans="1:3" ht="12.75">
      <c r="A172" s="8" t="s">
        <v>21</v>
      </c>
      <c r="B172" s="8" t="s">
        <v>274</v>
      </c>
      <c r="C172" t="s">
        <v>275</v>
      </c>
    </row>
    <row r="173" spans="3:7" ht="13.5" thickBot="1">
      <c r="C173" t="s">
        <v>446</v>
      </c>
      <c r="D173" s="8" t="s">
        <v>36</v>
      </c>
      <c r="E173" s="9">
        <f>0.54*14</f>
        <v>7.5600000000000005</v>
      </c>
      <c r="F173" s="9">
        <v>0</v>
      </c>
      <c r="G173" s="21">
        <f>E173*F173</f>
        <v>0</v>
      </c>
    </row>
    <row r="174" spans="3:7" ht="12.75">
      <c r="C174" s="3" t="s">
        <v>8</v>
      </c>
      <c r="G174" s="22">
        <f>SUM(G167:G173)</f>
        <v>0</v>
      </c>
    </row>
    <row r="176" spans="2:3" ht="12.75">
      <c r="B176" s="8" t="s">
        <v>447</v>
      </c>
      <c r="C176" s="2" t="s">
        <v>349</v>
      </c>
    </row>
    <row r="178" spans="1:7" ht="12.75">
      <c r="A178" s="8" t="s">
        <v>17</v>
      </c>
      <c r="B178" s="8" t="s">
        <v>448</v>
      </c>
      <c r="C178" t="s">
        <v>449</v>
      </c>
      <c r="D178" s="8" t="s">
        <v>78</v>
      </c>
      <c r="E178" s="9">
        <v>1.2</v>
      </c>
      <c r="F178" s="9">
        <v>0</v>
      </c>
      <c r="G178" s="20">
        <f>E178*F178</f>
        <v>0</v>
      </c>
    </row>
    <row r="179" spans="1:7" ht="12.75">
      <c r="A179" s="8" t="s">
        <v>19</v>
      </c>
      <c r="B179" s="8" t="s">
        <v>450</v>
      </c>
      <c r="C179" t="s">
        <v>451</v>
      </c>
      <c r="D179" s="8" t="s">
        <v>78</v>
      </c>
      <c r="E179" s="9">
        <v>1.2</v>
      </c>
      <c r="F179" s="9">
        <v>0</v>
      </c>
      <c r="G179" s="20">
        <f>E179*F179</f>
        <v>0</v>
      </c>
    </row>
    <row r="181" spans="1:7" ht="12.75">
      <c r="A181" s="8" t="s">
        <v>21</v>
      </c>
      <c r="C181" t="s">
        <v>452</v>
      </c>
      <c r="G181" s="20"/>
    </row>
    <row r="182" spans="3:7" ht="12.75">
      <c r="C182" t="s">
        <v>453</v>
      </c>
      <c r="D182" s="8" t="s">
        <v>78</v>
      </c>
      <c r="E182" s="9">
        <f>1.2*1.05</f>
        <v>1.26</v>
      </c>
      <c r="F182" s="9">
        <v>0</v>
      </c>
      <c r="G182" s="20">
        <f>E182*F182</f>
        <v>0</v>
      </c>
    </row>
    <row r="183" ht="12.75">
      <c r="G183" s="20"/>
    </row>
    <row r="184" spans="1:7" ht="12.75">
      <c r="A184" s="8" t="s">
        <v>23</v>
      </c>
      <c r="C184" t="s">
        <v>454</v>
      </c>
      <c r="G184" s="20"/>
    </row>
    <row r="185" spans="3:7" ht="13.5" thickBot="1">
      <c r="C185" t="s">
        <v>453</v>
      </c>
      <c r="D185" s="8" t="s">
        <v>78</v>
      </c>
      <c r="E185" s="9">
        <f>1.2*1.05</f>
        <v>1.26</v>
      </c>
      <c r="F185" s="9">
        <v>0</v>
      </c>
      <c r="G185" s="21">
        <f>E185*F185</f>
        <v>0</v>
      </c>
    </row>
    <row r="186" spans="3:7" ht="12.75">
      <c r="C186" s="3" t="s">
        <v>8</v>
      </c>
      <c r="G186" s="22">
        <f>SUM(G178:G185)</f>
        <v>0</v>
      </c>
    </row>
  </sheetData>
  <sheetProtection/>
  <autoFilter ref="A35:I186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&amp;CStránka &amp;P</oddFooter>
  </headerFooter>
  <rowBreaks count="1" manualBreakCount="1">
    <brk id="1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71"/>
  <sheetViews>
    <sheetView showZeros="0" defaultGridColor="0" zoomScalePageLayoutView="0" colorId="8" workbookViewId="0" topLeftCell="A1">
      <selection activeCell="A1" sqref="A1"/>
    </sheetView>
  </sheetViews>
  <sheetFormatPr defaultColWidth="9.00390625" defaultRowHeight="12.75"/>
  <cols>
    <col min="1" max="1" width="5.375" style="8" customWidth="1"/>
    <col min="2" max="2" width="12.25390625" style="8" customWidth="1"/>
    <col min="3" max="3" width="49.00390625" style="0" customWidth="1"/>
    <col min="4" max="4" width="5.125" style="8" customWidth="1"/>
    <col min="5" max="5" width="13.00390625" style="9" customWidth="1"/>
    <col min="6" max="6" width="10.75390625" style="9" customWidth="1"/>
    <col min="7" max="7" width="14.25390625" style="9" customWidth="1"/>
    <col min="8" max="8" width="10.125" style="0" customWidth="1"/>
    <col min="9" max="9" width="10.00390625" style="9" customWidth="1"/>
  </cols>
  <sheetData>
    <row r="1" ht="18">
      <c r="C1" s="1" t="s">
        <v>0</v>
      </c>
    </row>
    <row r="3" ht="15.75">
      <c r="C3" s="10" t="s">
        <v>13</v>
      </c>
    </row>
    <row r="5" ht="15.75">
      <c r="C5" s="10" t="s">
        <v>16</v>
      </c>
    </row>
    <row r="6" spans="1:9" ht="12.75">
      <c r="A6" s="8" t="s">
        <v>17</v>
      </c>
      <c r="C6" s="11" t="s">
        <v>18</v>
      </c>
      <c r="G6" s="5">
        <f>G85</f>
        <v>0</v>
      </c>
      <c r="I6" s="5">
        <f>I85</f>
        <v>16.9917318</v>
      </c>
    </row>
    <row r="7" spans="1:9" ht="12.75">
      <c r="A7" s="8" t="s">
        <v>19</v>
      </c>
      <c r="C7" s="11" t="s">
        <v>347</v>
      </c>
      <c r="G7" s="5">
        <f>G95</f>
        <v>0</v>
      </c>
      <c r="I7" s="5">
        <f>I95</f>
        <v>9.17530865</v>
      </c>
    </row>
    <row r="8" spans="1:9" ht="12.75">
      <c r="A8" s="8" t="s">
        <v>21</v>
      </c>
      <c r="C8" s="11" t="s">
        <v>348</v>
      </c>
      <c r="G8" s="12">
        <f>G159</f>
        <v>0</v>
      </c>
      <c r="I8" s="12">
        <f>I159</f>
        <v>4.445708249999999</v>
      </c>
    </row>
    <row r="9" spans="1:9" ht="12.75">
      <c r="A9" s="8" t="s">
        <v>23</v>
      </c>
      <c r="C9" s="11" t="s">
        <v>26</v>
      </c>
      <c r="G9" s="6">
        <f>G171</f>
        <v>0</v>
      </c>
      <c r="I9" s="6"/>
    </row>
    <row r="10" spans="2:9" ht="12.75">
      <c r="B10" s="8" t="s">
        <v>350</v>
      </c>
      <c r="C10" s="11" t="s">
        <v>32</v>
      </c>
      <c r="G10" s="5">
        <f>SUM(G6:G9)</f>
        <v>0</v>
      </c>
      <c r="I10" s="5">
        <f>SUM(I6:I9)</f>
        <v>30.6127487</v>
      </c>
    </row>
    <row r="11" spans="1:7" ht="12.75">
      <c r="A11" s="8" t="s">
        <v>25</v>
      </c>
      <c r="B11" s="8" t="s">
        <v>351</v>
      </c>
      <c r="C11" s="11" t="s">
        <v>35</v>
      </c>
      <c r="D11" s="8" t="s">
        <v>36</v>
      </c>
      <c r="E11" s="9">
        <f>I10</f>
        <v>30.6127487</v>
      </c>
      <c r="G11" s="6">
        <f>E11*F11</f>
        <v>0</v>
      </c>
    </row>
    <row r="12" spans="3:7" ht="12.75">
      <c r="C12" s="3" t="s">
        <v>8</v>
      </c>
      <c r="G12" s="7">
        <f>SUM(G10:G11)</f>
        <v>0</v>
      </c>
    </row>
    <row r="14" spans="3:7" ht="15.75">
      <c r="C14" s="10" t="s">
        <v>39</v>
      </c>
      <c r="G14" s="5"/>
    </row>
    <row r="15" spans="1:7" ht="12.75">
      <c r="A15" s="8" t="s">
        <v>17</v>
      </c>
      <c r="C15" t="s">
        <v>40</v>
      </c>
      <c r="D15" s="8" t="s">
        <v>41</v>
      </c>
      <c r="E15" s="9">
        <f>G12</f>
        <v>0</v>
      </c>
      <c r="F15" s="13">
        <v>0.023</v>
      </c>
      <c r="G15" s="5">
        <f>E15*F15</f>
        <v>0</v>
      </c>
    </row>
    <row r="16" spans="1:7" ht="12.75">
      <c r="A16" s="8" t="s">
        <v>19</v>
      </c>
      <c r="C16" t="s">
        <v>42</v>
      </c>
      <c r="D16" s="8" t="s">
        <v>41</v>
      </c>
      <c r="E16" s="9">
        <f>G12</f>
        <v>0</v>
      </c>
      <c r="F16" s="13">
        <v>0.032</v>
      </c>
      <c r="G16" s="6">
        <f>E16*F16</f>
        <v>0</v>
      </c>
    </row>
    <row r="17" spans="3:7" ht="12.75">
      <c r="C17" s="3" t="s">
        <v>8</v>
      </c>
      <c r="G17" s="7">
        <f>SUM(G15:G16)</f>
        <v>0</v>
      </c>
    </row>
    <row r="18" ht="12.75">
      <c r="G18" s="5"/>
    </row>
    <row r="19" spans="3:7" ht="15.75">
      <c r="C19" s="10" t="s">
        <v>8</v>
      </c>
      <c r="G19" s="7">
        <f>G12+G17</f>
        <v>0</v>
      </c>
    </row>
    <row r="20" spans="3:7" ht="15.75">
      <c r="C20" s="10" t="s">
        <v>9</v>
      </c>
      <c r="D20" s="8" t="s">
        <v>41</v>
      </c>
      <c r="E20" s="9">
        <f>G19</f>
        <v>0</v>
      </c>
      <c r="F20" s="9">
        <v>0.21</v>
      </c>
      <c r="G20" s="7">
        <f>E20*F20</f>
        <v>0</v>
      </c>
    </row>
    <row r="21" spans="3:7" ht="15.75">
      <c r="C21" s="10" t="s">
        <v>43</v>
      </c>
      <c r="G21" s="7">
        <f>SUM(G19:G20)</f>
        <v>0</v>
      </c>
    </row>
    <row r="35" spans="1:9" ht="12.75">
      <c r="A35" s="8" t="s">
        <v>44</v>
      </c>
      <c r="B35" s="8" t="s">
        <v>45</v>
      </c>
      <c r="C35" s="8" t="s">
        <v>46</v>
      </c>
      <c r="D35" s="8" t="s">
        <v>47</v>
      </c>
      <c r="E35" s="14" t="s">
        <v>48</v>
      </c>
      <c r="F35" s="14" t="s">
        <v>49</v>
      </c>
      <c r="G35" s="14" t="s">
        <v>8</v>
      </c>
      <c r="H35" s="8" t="s">
        <v>50</v>
      </c>
      <c r="I35" s="14" t="s">
        <v>51</v>
      </c>
    </row>
    <row r="37" spans="2:3" ht="12.75">
      <c r="B37" s="8" t="s">
        <v>52</v>
      </c>
      <c r="C37" s="2" t="s">
        <v>18</v>
      </c>
    </row>
    <row r="39" spans="1:3" ht="12.75">
      <c r="A39" s="8" t="s">
        <v>17</v>
      </c>
      <c r="B39" s="8" t="s">
        <v>352</v>
      </c>
      <c r="C39" t="s">
        <v>353</v>
      </c>
    </row>
    <row r="40" ht="12.75">
      <c r="C40" t="s">
        <v>455</v>
      </c>
    </row>
    <row r="41" spans="3:7" ht="12.75">
      <c r="C41" t="s">
        <v>456</v>
      </c>
      <c r="D41" s="8" t="s">
        <v>62</v>
      </c>
      <c r="E41" s="9">
        <f>0.8*1.71*28.5</f>
        <v>38.988</v>
      </c>
      <c r="G41" s="9">
        <f>E41*F41</f>
        <v>0</v>
      </c>
    </row>
    <row r="42" ht="12.75">
      <c r="C42" t="s">
        <v>457</v>
      </c>
    </row>
    <row r="43" spans="3:7" ht="12.75">
      <c r="C43" t="s">
        <v>458</v>
      </c>
      <c r="D43" s="8" t="s">
        <v>62</v>
      </c>
      <c r="E43" s="19">
        <f>(2.7-0.8)*1.71*2.7</f>
        <v>8.772300000000001</v>
      </c>
      <c r="G43" s="9">
        <f>E43*F43</f>
        <v>0</v>
      </c>
    </row>
    <row r="44" spans="3:5" ht="12.75">
      <c r="C44" t="s">
        <v>459</v>
      </c>
      <c r="E44" s="19"/>
    </row>
    <row r="45" spans="3:7" ht="12.75">
      <c r="C45" t="s">
        <v>460</v>
      </c>
      <c r="D45" s="8" t="s">
        <v>62</v>
      </c>
      <c r="E45" s="18">
        <f>1*1.7*16</f>
        <v>27.2</v>
      </c>
      <c r="G45" s="9">
        <f>E45*F45</f>
        <v>0</v>
      </c>
    </row>
    <row r="46" spans="4:5" ht="12.75">
      <c r="D46" s="8" t="s">
        <v>62</v>
      </c>
      <c r="E46" s="9">
        <f>SUM(E41:E45)</f>
        <v>74.9603</v>
      </c>
    </row>
    <row r="47" spans="3:7" ht="12.75">
      <c r="C47" t="s">
        <v>461</v>
      </c>
      <c r="D47" s="8" t="s">
        <v>62</v>
      </c>
      <c r="E47" s="9">
        <f>74.96*0.5</f>
        <v>37.48</v>
      </c>
      <c r="F47" s="9">
        <v>0</v>
      </c>
      <c r="G47" s="9">
        <f>E47*F47</f>
        <v>0</v>
      </c>
    </row>
    <row r="49" spans="1:3" ht="12.75">
      <c r="A49" s="8" t="s">
        <v>19</v>
      </c>
      <c r="B49" s="8" t="s">
        <v>361</v>
      </c>
      <c r="C49" t="s">
        <v>70</v>
      </c>
    </row>
    <row r="50" spans="3:7" ht="12.75">
      <c r="C50" t="s">
        <v>462</v>
      </c>
      <c r="D50" s="8" t="s">
        <v>62</v>
      </c>
      <c r="E50" s="9">
        <f>37.48*0.5</f>
        <v>18.74</v>
      </c>
      <c r="F50" s="9">
        <v>0</v>
      </c>
      <c r="G50" s="9">
        <f>E50*F50</f>
        <v>0</v>
      </c>
    </row>
    <row r="52" spans="1:5" ht="12.75">
      <c r="A52" s="8" t="s">
        <v>21</v>
      </c>
      <c r="B52" s="8" t="s">
        <v>363</v>
      </c>
      <c r="C52" t="s">
        <v>364</v>
      </c>
      <c r="E52" s="19"/>
    </row>
    <row r="53" spans="3:7" ht="12.75">
      <c r="C53" t="s">
        <v>461</v>
      </c>
      <c r="D53" s="8" t="s">
        <v>62</v>
      </c>
      <c r="E53" s="9">
        <f>74.96*0.5</f>
        <v>37.48</v>
      </c>
      <c r="F53" s="9">
        <v>0</v>
      </c>
      <c r="G53" s="9">
        <f>E53*F53</f>
        <v>0</v>
      </c>
    </row>
    <row r="55" spans="1:3" ht="12.75">
      <c r="A55" s="8" t="s">
        <v>23</v>
      </c>
      <c r="B55" s="8" t="s">
        <v>365</v>
      </c>
      <c r="C55" t="s">
        <v>75</v>
      </c>
    </row>
    <row r="56" spans="3:7" ht="12.75">
      <c r="C56" t="s">
        <v>462</v>
      </c>
      <c r="D56" s="8" t="s">
        <v>62</v>
      </c>
      <c r="E56" s="9">
        <f>37.48*0.5</f>
        <v>18.74</v>
      </c>
      <c r="F56" s="9">
        <v>0</v>
      </c>
      <c r="G56" s="9">
        <f>E56*F56</f>
        <v>0</v>
      </c>
    </row>
    <row r="58" spans="1:3" ht="12.75">
      <c r="A58" s="8" t="s">
        <v>25</v>
      </c>
      <c r="B58" s="8" t="s">
        <v>366</v>
      </c>
      <c r="C58" t="s">
        <v>367</v>
      </c>
    </row>
    <row r="59" spans="3:9" ht="12.75">
      <c r="C59" t="s">
        <v>463</v>
      </c>
      <c r="D59" s="8" t="s">
        <v>84</v>
      </c>
      <c r="E59" s="9">
        <f>1.71*28.5*2+1.7*16*2</f>
        <v>151.87</v>
      </c>
      <c r="F59" s="9">
        <v>0</v>
      </c>
      <c r="G59" s="9">
        <f>E59*F59</f>
        <v>0</v>
      </c>
      <c r="H59">
        <v>0.00084</v>
      </c>
      <c r="I59" s="9">
        <f>E59*H59</f>
        <v>0.1275708</v>
      </c>
    </row>
    <row r="61" spans="1:7" ht="12.75">
      <c r="A61" s="8" t="s">
        <v>27</v>
      </c>
      <c r="B61" s="8" t="s">
        <v>369</v>
      </c>
      <c r="C61" t="s">
        <v>370</v>
      </c>
      <c r="D61" s="8" t="s">
        <v>84</v>
      </c>
      <c r="E61" s="9">
        <v>151.87</v>
      </c>
      <c r="F61" s="9">
        <v>0</v>
      </c>
      <c r="G61" s="9">
        <f>E61*F61</f>
        <v>0</v>
      </c>
    </row>
    <row r="63" spans="1:7" ht="12.75">
      <c r="A63" s="8" t="s">
        <v>29</v>
      </c>
      <c r="B63" s="8" t="s">
        <v>371</v>
      </c>
      <c r="C63" t="s">
        <v>372</v>
      </c>
      <c r="D63" s="8" t="s">
        <v>62</v>
      </c>
      <c r="E63" s="9">
        <v>74.96</v>
      </c>
      <c r="F63" s="9">
        <v>0</v>
      </c>
      <c r="G63" s="9">
        <f>E63*F63</f>
        <v>0</v>
      </c>
    </row>
    <row r="65" spans="1:3" ht="12.75">
      <c r="A65" s="8" t="s">
        <v>33</v>
      </c>
      <c r="B65" s="8" t="s">
        <v>373</v>
      </c>
      <c r="C65" t="s">
        <v>374</v>
      </c>
    </row>
    <row r="66" spans="3:7" ht="12.75">
      <c r="C66" t="s">
        <v>464</v>
      </c>
      <c r="D66" s="8" t="s">
        <v>62</v>
      </c>
      <c r="E66" s="9">
        <f>0.8*0.36*28.5</f>
        <v>8.208</v>
      </c>
      <c r="F66" s="9">
        <v>0</v>
      </c>
      <c r="G66" s="9">
        <f>E66*F66</f>
        <v>0</v>
      </c>
    </row>
    <row r="67" ht="12.75">
      <c r="B67" s="8" t="s">
        <v>105</v>
      </c>
    </row>
    <row r="68" spans="1:3" ht="12.75">
      <c r="A68" s="8" t="s">
        <v>37</v>
      </c>
      <c r="B68" s="16">
        <v>583313400</v>
      </c>
      <c r="C68" t="s">
        <v>209</v>
      </c>
    </row>
    <row r="69" spans="3:9" ht="12.75">
      <c r="C69" t="s">
        <v>465</v>
      </c>
      <c r="D69" s="8" t="s">
        <v>36</v>
      </c>
      <c r="E69" s="9">
        <f>8.21*1.67*1.23</f>
        <v>16.864161</v>
      </c>
      <c r="F69" s="9">
        <v>0</v>
      </c>
      <c r="G69" s="9">
        <f>E69*F69</f>
        <v>0</v>
      </c>
      <c r="H69">
        <v>1</v>
      </c>
      <c r="I69" s="9">
        <f>E69*H69</f>
        <v>16.864161</v>
      </c>
    </row>
    <row r="71" spans="1:3" ht="12.75">
      <c r="A71" s="8" t="s">
        <v>101</v>
      </c>
      <c r="B71" s="8" t="s">
        <v>378</v>
      </c>
      <c r="C71" t="s">
        <v>379</v>
      </c>
    </row>
    <row r="72" spans="3:7" ht="12.75">
      <c r="C72" t="s">
        <v>380</v>
      </c>
      <c r="D72" s="8" t="s">
        <v>62</v>
      </c>
      <c r="E72" s="9">
        <v>74.96</v>
      </c>
      <c r="G72" s="9">
        <f>E72*F72</f>
        <v>0</v>
      </c>
    </row>
    <row r="73" ht="12.75">
      <c r="C73" t="s">
        <v>381</v>
      </c>
    </row>
    <row r="74" spans="3:7" ht="12.75">
      <c r="C74" t="s">
        <v>466</v>
      </c>
      <c r="D74" s="8" t="s">
        <v>62</v>
      </c>
      <c r="E74" s="9">
        <f>0.8*0.51*28.5*-1</f>
        <v>-11.628</v>
      </c>
      <c r="G74" s="9">
        <f>E74*F74</f>
        <v>0</v>
      </c>
    </row>
    <row r="75" spans="3:7" ht="12.75">
      <c r="C75" t="s">
        <v>467</v>
      </c>
      <c r="D75" s="8" t="s">
        <v>62</v>
      </c>
      <c r="E75" s="18">
        <f>2.5*2.5*0.25*-1+0.75*0.75*3.14*1.38*-1</f>
        <v>-3.9999249999999997</v>
      </c>
      <c r="G75" s="9">
        <f>E75*F75</f>
        <v>0</v>
      </c>
    </row>
    <row r="76" spans="4:6" ht="12.75">
      <c r="D76" s="8" t="s">
        <v>62</v>
      </c>
      <c r="E76" s="9">
        <f>SUM(E72:E75)</f>
        <v>59.332074999999996</v>
      </c>
      <c r="F76" s="9">
        <v>0</v>
      </c>
    </row>
    <row r="78" spans="1:3" ht="12.75">
      <c r="A78" s="8" t="s">
        <v>106</v>
      </c>
      <c r="B78" s="8" t="s">
        <v>138</v>
      </c>
      <c r="C78" t="s">
        <v>139</v>
      </c>
    </row>
    <row r="79" spans="3:7" ht="12.75">
      <c r="C79" t="s">
        <v>385</v>
      </c>
      <c r="D79" s="8" t="s">
        <v>62</v>
      </c>
      <c r="E79" s="9">
        <v>74.96</v>
      </c>
      <c r="G79" s="9">
        <f>E79*F79</f>
        <v>0</v>
      </c>
    </row>
    <row r="80" spans="3:7" ht="12.75">
      <c r="C80" t="s">
        <v>386</v>
      </c>
      <c r="D80" s="8" t="s">
        <v>62</v>
      </c>
      <c r="E80" s="18">
        <v>59.33</v>
      </c>
      <c r="G80" s="9">
        <f>E80*F80</f>
        <v>0</v>
      </c>
    </row>
    <row r="81" spans="4:6" ht="12.75">
      <c r="D81" s="8" t="s">
        <v>62</v>
      </c>
      <c r="E81" s="9">
        <f>SUM(E79:E80)</f>
        <v>134.29</v>
      </c>
      <c r="F81" s="9">
        <v>0</v>
      </c>
    </row>
    <row r="83" spans="1:7" ht="12.75">
      <c r="A83" s="8" t="s">
        <v>109</v>
      </c>
      <c r="B83" s="8" t="s">
        <v>162</v>
      </c>
      <c r="C83" t="s">
        <v>163</v>
      </c>
      <c r="G83" s="20"/>
    </row>
    <row r="84" spans="3:9" ht="13.5" thickBot="1">
      <c r="C84" t="s">
        <v>387</v>
      </c>
      <c r="D84" s="8" t="s">
        <v>62</v>
      </c>
      <c r="E84" s="9">
        <v>59.33</v>
      </c>
      <c r="F84" s="9">
        <v>0</v>
      </c>
      <c r="G84" s="21">
        <f>E84*F84</f>
        <v>0</v>
      </c>
      <c r="I84" s="21"/>
    </row>
    <row r="85" spans="3:9" ht="12.75">
      <c r="C85" s="3" t="s">
        <v>8</v>
      </c>
      <c r="G85" s="22">
        <f>SUM(G41:G84)</f>
        <v>0</v>
      </c>
      <c r="I85" s="9">
        <f>SUM(I41:I84)</f>
        <v>16.9917318</v>
      </c>
    </row>
    <row r="87" spans="2:3" ht="12.75">
      <c r="B87" s="8" t="s">
        <v>350</v>
      </c>
      <c r="C87" s="2" t="s">
        <v>347</v>
      </c>
    </row>
    <row r="89" spans="1:3" ht="12.75">
      <c r="A89" s="8" t="s">
        <v>17</v>
      </c>
      <c r="B89" s="8" t="s">
        <v>388</v>
      </c>
      <c r="C89" t="s">
        <v>389</v>
      </c>
    </row>
    <row r="90" spans="3:9" ht="12.75">
      <c r="C90" t="s">
        <v>468</v>
      </c>
      <c r="D90" s="8" t="s">
        <v>62</v>
      </c>
      <c r="E90" s="9">
        <f>0.8*0.15*(28.5-2.5)+2.5*2.5*0.1</f>
        <v>3.745</v>
      </c>
      <c r="F90" s="9">
        <v>0</v>
      </c>
      <c r="G90" s="20">
        <f>E90*F90</f>
        <v>0</v>
      </c>
      <c r="H90">
        <v>1.89077</v>
      </c>
      <c r="I90" s="20">
        <f>E90*H90</f>
        <v>7.08093365</v>
      </c>
    </row>
    <row r="91" spans="7:9" ht="12.75">
      <c r="G91" s="20"/>
      <c r="I91" s="20"/>
    </row>
    <row r="92" spans="1:3" ht="12.75">
      <c r="A92" s="8" t="s">
        <v>19</v>
      </c>
      <c r="B92" s="8" t="s">
        <v>391</v>
      </c>
      <c r="C92" t="s">
        <v>392</v>
      </c>
    </row>
    <row r="93" ht="12.75">
      <c r="C93" t="s">
        <v>469</v>
      </c>
    </row>
    <row r="94" spans="3:9" ht="13.5" thickBot="1">
      <c r="C94" t="s">
        <v>470</v>
      </c>
      <c r="D94" s="8" t="s">
        <v>62</v>
      </c>
      <c r="E94" s="9">
        <f>2.5*2.5*0.15</f>
        <v>0.9375</v>
      </c>
      <c r="F94" s="9">
        <v>0</v>
      </c>
      <c r="G94" s="21">
        <f>E94*F94</f>
        <v>0</v>
      </c>
      <c r="H94">
        <v>2.234</v>
      </c>
      <c r="I94" s="21">
        <f>E94*H94</f>
        <v>2.094375</v>
      </c>
    </row>
    <row r="95" spans="3:9" ht="12.75">
      <c r="C95" s="3" t="s">
        <v>8</v>
      </c>
      <c r="G95" s="22">
        <f>SUM(G90:G94)</f>
        <v>0</v>
      </c>
      <c r="I95" s="9">
        <f>SUM(I90:I94)</f>
        <v>9.17530865</v>
      </c>
    </row>
    <row r="97" spans="2:3" ht="12.75">
      <c r="B97" s="8" t="s">
        <v>350</v>
      </c>
      <c r="C97" s="2" t="s">
        <v>348</v>
      </c>
    </row>
    <row r="99" spans="1:3" ht="12.75">
      <c r="A99" s="8" t="s">
        <v>17</v>
      </c>
      <c r="B99" s="8" t="s">
        <v>471</v>
      </c>
      <c r="C99" t="s">
        <v>472</v>
      </c>
    </row>
    <row r="100" spans="3:7" ht="12.75">
      <c r="C100" t="s">
        <v>473</v>
      </c>
      <c r="D100" s="8" t="s">
        <v>78</v>
      </c>
      <c r="E100" s="9">
        <v>28.5</v>
      </c>
      <c r="F100" s="9">
        <v>0</v>
      </c>
      <c r="G100" s="9">
        <f>E100*F100</f>
        <v>0</v>
      </c>
    </row>
    <row r="101" ht="12.75">
      <c r="B101" s="8" t="s">
        <v>105</v>
      </c>
    </row>
    <row r="102" spans="1:3" ht="12.75">
      <c r="A102" s="8" t="s">
        <v>19</v>
      </c>
      <c r="B102" s="16">
        <v>286131130</v>
      </c>
      <c r="C102" t="s">
        <v>474</v>
      </c>
    </row>
    <row r="103" spans="2:9" ht="12.75">
      <c r="B103" s="16"/>
      <c r="C103" t="s">
        <v>475</v>
      </c>
      <c r="D103" s="8" t="s">
        <v>78</v>
      </c>
      <c r="E103" s="9">
        <f>28.5*1.015</f>
        <v>28.9275</v>
      </c>
      <c r="F103" s="9">
        <v>0</v>
      </c>
      <c r="G103" s="9">
        <f>E103*F103</f>
        <v>0</v>
      </c>
      <c r="H103">
        <v>0.0011</v>
      </c>
      <c r="I103" s="9">
        <f>E103*H103</f>
        <v>0.03182025</v>
      </c>
    </row>
    <row r="104" ht="12.75">
      <c r="B104" s="16"/>
    </row>
    <row r="105" spans="1:3" ht="12.75">
      <c r="A105" s="8" t="s">
        <v>21</v>
      </c>
      <c r="B105" s="16">
        <v>286535960</v>
      </c>
      <c r="C105" t="s">
        <v>476</v>
      </c>
    </row>
    <row r="106" spans="3:9" ht="12.75">
      <c r="C106" t="s">
        <v>477</v>
      </c>
      <c r="D106" s="8" t="s">
        <v>259</v>
      </c>
      <c r="E106" s="9">
        <f>2*1.015</f>
        <v>2.03</v>
      </c>
      <c r="F106" s="9">
        <v>0</v>
      </c>
      <c r="G106" s="9">
        <f>E106*F106</f>
        <v>0</v>
      </c>
      <c r="H106">
        <v>0.0002</v>
      </c>
      <c r="I106" s="9">
        <f>E106*H106</f>
        <v>0.000406</v>
      </c>
    </row>
    <row r="107" spans="1:7" ht="12.75">
      <c r="A107" s="8" t="s">
        <v>23</v>
      </c>
      <c r="B107" s="8" t="s">
        <v>478</v>
      </c>
      <c r="C107" t="s">
        <v>479</v>
      </c>
      <c r="D107" s="8" t="s">
        <v>259</v>
      </c>
      <c r="E107" s="9">
        <v>2</v>
      </c>
      <c r="F107" s="9">
        <v>0</v>
      </c>
      <c r="G107" s="9">
        <f>E107*F107</f>
        <v>0</v>
      </c>
    </row>
    <row r="109" spans="1:3" ht="12.75">
      <c r="A109" s="8" t="s">
        <v>25</v>
      </c>
      <c r="B109" s="8" t="s">
        <v>480</v>
      </c>
      <c r="C109" t="s">
        <v>481</v>
      </c>
    </row>
    <row r="110" spans="3:7" ht="12.75">
      <c r="C110" t="s">
        <v>482</v>
      </c>
      <c r="D110" s="8" t="s">
        <v>259</v>
      </c>
      <c r="E110" s="9">
        <v>2</v>
      </c>
      <c r="F110" s="9">
        <v>0</v>
      </c>
      <c r="G110" s="9">
        <f>E110*F110</f>
        <v>0</v>
      </c>
    </row>
    <row r="111" ht="12.75">
      <c r="B111" s="8" t="s">
        <v>105</v>
      </c>
    </row>
    <row r="112" spans="1:9" ht="12.75">
      <c r="A112" s="8" t="s">
        <v>27</v>
      </c>
      <c r="B112" s="16">
        <v>552597300</v>
      </c>
      <c r="C112" t="s">
        <v>483</v>
      </c>
      <c r="D112" s="8" t="s">
        <v>259</v>
      </c>
      <c r="E112" s="9">
        <v>2.02</v>
      </c>
      <c r="F112" s="9">
        <v>0</v>
      </c>
      <c r="G112" s="9">
        <f>E112*F112</f>
        <v>0</v>
      </c>
      <c r="H112">
        <v>0.0071</v>
      </c>
      <c r="I112" s="9">
        <f>E112*H112</f>
        <v>0.014342</v>
      </c>
    </row>
    <row r="114" spans="1:3" ht="12.75">
      <c r="A114" s="8" t="s">
        <v>29</v>
      </c>
      <c r="B114" s="8" t="s">
        <v>484</v>
      </c>
      <c r="C114" t="s">
        <v>485</v>
      </c>
    </row>
    <row r="115" spans="3:7" ht="12.75">
      <c r="C115" t="s">
        <v>482</v>
      </c>
      <c r="D115" s="8" t="s">
        <v>259</v>
      </c>
      <c r="E115" s="9">
        <v>4</v>
      </c>
      <c r="G115" s="9">
        <f>E115*F115</f>
        <v>0</v>
      </c>
    </row>
    <row r="116" spans="3:7" ht="12.75">
      <c r="C116" t="s">
        <v>486</v>
      </c>
      <c r="D116" s="8" t="s">
        <v>259</v>
      </c>
      <c r="E116" s="18">
        <v>2</v>
      </c>
      <c r="G116" s="9">
        <f>E116*F116</f>
        <v>0</v>
      </c>
    </row>
    <row r="117" spans="4:9" ht="12.75">
      <c r="D117" s="8" t="s">
        <v>259</v>
      </c>
      <c r="E117" s="9">
        <f>SUM(E115:E116)</f>
        <v>6</v>
      </c>
      <c r="F117" s="9">
        <v>0</v>
      </c>
      <c r="H117">
        <v>0.0008</v>
      </c>
      <c r="I117" s="9">
        <f>E117*H117</f>
        <v>0.0048000000000000004</v>
      </c>
    </row>
    <row r="119" spans="1:9" ht="12.75">
      <c r="A119" s="8" t="s">
        <v>33</v>
      </c>
      <c r="C119" t="s">
        <v>487</v>
      </c>
      <c r="D119" s="8" t="s">
        <v>259</v>
      </c>
      <c r="E119" s="9">
        <v>2.02</v>
      </c>
      <c r="F119" s="9">
        <v>0</v>
      </c>
      <c r="G119" s="9">
        <f>E119*F119</f>
        <v>0</v>
      </c>
      <c r="H119">
        <v>0.0019</v>
      </c>
      <c r="I119" s="9">
        <f>E119*H119</f>
        <v>0.003838</v>
      </c>
    </row>
    <row r="120" ht="12.75">
      <c r="B120" s="8" t="s">
        <v>105</v>
      </c>
    </row>
    <row r="121" spans="1:9" ht="12.75">
      <c r="A121" s="8" t="s">
        <v>37</v>
      </c>
      <c r="B121" s="16">
        <v>552540260</v>
      </c>
      <c r="C121" t="s">
        <v>488</v>
      </c>
      <c r="D121" s="8" t="s">
        <v>259</v>
      </c>
      <c r="E121" s="9">
        <v>2.02</v>
      </c>
      <c r="F121" s="9">
        <v>0</v>
      </c>
      <c r="G121" s="9">
        <f>E121*F121</f>
        <v>0</v>
      </c>
      <c r="H121">
        <v>0.009</v>
      </c>
      <c r="I121" s="9">
        <f>E121*H121</f>
        <v>0.018179999999999998</v>
      </c>
    </row>
    <row r="123" spans="1:9" ht="12.75">
      <c r="A123" s="8" t="s">
        <v>101</v>
      </c>
      <c r="B123" s="16">
        <v>552598110</v>
      </c>
      <c r="C123" t="s">
        <v>489</v>
      </c>
      <c r="D123" s="8" t="s">
        <v>259</v>
      </c>
      <c r="E123" s="9">
        <v>2.02</v>
      </c>
      <c r="F123" s="9">
        <v>0</v>
      </c>
      <c r="G123" s="9">
        <f>E123*F123</f>
        <v>0</v>
      </c>
      <c r="H123">
        <v>0.0084</v>
      </c>
      <c r="I123" s="9">
        <f>E123*H123</f>
        <v>0.016968</v>
      </c>
    </row>
    <row r="125" spans="1:3" ht="12.75">
      <c r="A125" s="8" t="s">
        <v>106</v>
      </c>
      <c r="B125" s="16">
        <v>552911210</v>
      </c>
      <c r="C125" t="s">
        <v>490</v>
      </c>
    </row>
    <row r="126" spans="3:9" ht="12.75">
      <c r="C126" t="s">
        <v>491</v>
      </c>
      <c r="D126" s="8" t="s">
        <v>259</v>
      </c>
      <c r="E126" s="9">
        <f>2*1.02</f>
        <v>2.04</v>
      </c>
      <c r="F126" s="9">
        <v>0</v>
      </c>
      <c r="G126" s="9">
        <f>E126*F126</f>
        <v>0</v>
      </c>
      <c r="H126">
        <v>0.0001</v>
      </c>
      <c r="I126" s="9">
        <f>E126*H126</f>
        <v>0.00020400000000000003</v>
      </c>
    </row>
    <row r="128" spans="1:3" ht="12.75">
      <c r="A128" s="8" t="s">
        <v>109</v>
      </c>
      <c r="C128" t="s">
        <v>492</v>
      </c>
    </row>
    <row r="129" spans="3:7" ht="12.75">
      <c r="C129" t="s">
        <v>491</v>
      </c>
      <c r="D129" s="8" t="s">
        <v>259</v>
      </c>
      <c r="E129" s="9">
        <f>2*1.02</f>
        <v>2.04</v>
      </c>
      <c r="F129" s="9">
        <v>0</v>
      </c>
      <c r="G129" s="9">
        <f>E129*F129</f>
        <v>0</v>
      </c>
    </row>
    <row r="131" spans="1:3" ht="12.75">
      <c r="A131" s="8" t="s">
        <v>113</v>
      </c>
      <c r="C131" t="s">
        <v>493</v>
      </c>
    </row>
    <row r="132" spans="3:7" ht="12.75">
      <c r="C132" t="s">
        <v>494</v>
      </c>
      <c r="D132" s="8" t="s">
        <v>259</v>
      </c>
      <c r="E132" s="9">
        <f>4*1.02</f>
        <v>4.08</v>
      </c>
      <c r="F132" s="9">
        <v>0</v>
      </c>
      <c r="G132" s="9">
        <f>E132*F132</f>
        <v>0</v>
      </c>
    </row>
    <row r="134" spans="1:3" ht="12.75">
      <c r="A134" s="8" t="s">
        <v>117</v>
      </c>
      <c r="B134" s="8" t="s">
        <v>495</v>
      </c>
      <c r="C134" t="s">
        <v>496</v>
      </c>
    </row>
    <row r="135" spans="3:9" ht="12.75">
      <c r="C135" t="s">
        <v>497</v>
      </c>
      <c r="D135" s="8" t="s">
        <v>259</v>
      </c>
      <c r="E135" s="9">
        <v>1</v>
      </c>
      <c r="F135" s="9">
        <v>0</v>
      </c>
      <c r="G135" s="9">
        <f>E135*F135</f>
        <v>0</v>
      </c>
      <c r="H135">
        <v>1.81723</v>
      </c>
      <c r="I135" s="9">
        <f>E135*H135</f>
        <v>1.81723</v>
      </c>
    </row>
    <row r="136" ht="12.75">
      <c r="B136" s="8" t="s">
        <v>105</v>
      </c>
    </row>
    <row r="137" spans="1:9" ht="12.75">
      <c r="A137" s="8" t="s">
        <v>123</v>
      </c>
      <c r="B137" s="16">
        <v>562305180</v>
      </c>
      <c r="C137" t="s">
        <v>498</v>
      </c>
      <c r="D137" s="8" t="s">
        <v>259</v>
      </c>
      <c r="E137" s="9">
        <v>1</v>
      </c>
      <c r="F137" s="9">
        <v>0</v>
      </c>
      <c r="G137" s="9">
        <f>E137*F137</f>
        <v>0</v>
      </c>
      <c r="H137">
        <v>0.085</v>
      </c>
      <c r="I137" s="9">
        <f>E137*H137</f>
        <v>0.085</v>
      </c>
    </row>
    <row r="139" spans="1:9" ht="12.75">
      <c r="A139" s="8" t="s">
        <v>127</v>
      </c>
      <c r="B139" s="8" t="s">
        <v>425</v>
      </c>
      <c r="C139" t="s">
        <v>499</v>
      </c>
      <c r="D139" s="8" t="s">
        <v>259</v>
      </c>
      <c r="E139" s="9">
        <v>1</v>
      </c>
      <c r="F139" s="9">
        <v>0</v>
      </c>
      <c r="G139" s="9">
        <f>E139*F139</f>
        <v>0</v>
      </c>
      <c r="H139">
        <v>0.03903</v>
      </c>
      <c r="I139" s="9">
        <f>E139*H139</f>
        <v>0.03903</v>
      </c>
    </row>
    <row r="141" spans="1:3" ht="12.75">
      <c r="A141" s="8" t="s">
        <v>131</v>
      </c>
      <c r="C141" t="s">
        <v>500</v>
      </c>
    </row>
    <row r="142" spans="3:9" ht="12.75">
      <c r="C142" t="s">
        <v>501</v>
      </c>
      <c r="D142" s="8" t="s">
        <v>259</v>
      </c>
      <c r="E142" s="9">
        <v>1.01</v>
      </c>
      <c r="F142" s="9">
        <v>0</v>
      </c>
      <c r="G142" s="9">
        <f>E142*F142</f>
        <v>0</v>
      </c>
      <c r="H142">
        <v>1.377</v>
      </c>
      <c r="I142" s="9">
        <f>E142*H142</f>
        <v>1.39077</v>
      </c>
    </row>
    <row r="143" spans="1:9" ht="12.75">
      <c r="A143" s="8" t="s">
        <v>134</v>
      </c>
      <c r="B143" s="8" t="s">
        <v>431</v>
      </c>
      <c r="C143" t="s">
        <v>432</v>
      </c>
      <c r="D143" s="8" t="s">
        <v>259</v>
      </c>
      <c r="E143" s="9">
        <v>1</v>
      </c>
      <c r="F143" s="9">
        <v>0</v>
      </c>
      <c r="G143" s="9">
        <f>E143*F143</f>
        <v>0</v>
      </c>
      <c r="H143">
        <v>0.00702</v>
      </c>
      <c r="I143" s="9">
        <f>E143*H143</f>
        <v>0.00702</v>
      </c>
    </row>
    <row r="145" spans="1:9" ht="12.75">
      <c r="A145" s="8" t="s">
        <v>137</v>
      </c>
      <c r="C145" t="s">
        <v>502</v>
      </c>
      <c r="D145" s="8" t="s">
        <v>259</v>
      </c>
      <c r="E145" s="9">
        <v>1</v>
      </c>
      <c r="F145" s="9">
        <v>0</v>
      </c>
      <c r="G145" s="20">
        <f>E145*F145</f>
        <v>0</v>
      </c>
      <c r="H145">
        <v>0.096</v>
      </c>
      <c r="I145" s="9">
        <f>E145*H145</f>
        <v>0.096</v>
      </c>
    </row>
    <row r="147" spans="1:7" ht="12.75">
      <c r="A147" s="8" t="s">
        <v>147</v>
      </c>
      <c r="C147" t="s">
        <v>503</v>
      </c>
      <c r="D147" s="8" t="s">
        <v>412</v>
      </c>
      <c r="E147" s="9">
        <v>1</v>
      </c>
      <c r="F147" s="9">
        <v>0</v>
      </c>
      <c r="G147" s="9">
        <f>E147*F147</f>
        <v>0</v>
      </c>
    </row>
    <row r="149" spans="1:7" ht="12.75">
      <c r="A149" s="8" t="s">
        <v>152</v>
      </c>
      <c r="B149" s="8" t="s">
        <v>504</v>
      </c>
      <c r="C149" t="s">
        <v>505</v>
      </c>
      <c r="D149" s="8" t="s">
        <v>78</v>
      </c>
      <c r="E149" s="9">
        <v>28.5</v>
      </c>
      <c r="F149" s="9">
        <v>0</v>
      </c>
      <c r="G149" s="9">
        <f>E149*F149</f>
        <v>0</v>
      </c>
    </row>
    <row r="151" spans="1:3" ht="12.75">
      <c r="A151" s="8" t="s">
        <v>157</v>
      </c>
      <c r="B151" s="8" t="s">
        <v>408</v>
      </c>
      <c r="C151" t="s">
        <v>409</v>
      </c>
    </row>
    <row r="152" spans="3:9" ht="12.75">
      <c r="C152" t="s">
        <v>506</v>
      </c>
      <c r="D152" s="8" t="s">
        <v>259</v>
      </c>
      <c r="E152" s="9">
        <v>2</v>
      </c>
      <c r="F152" s="9">
        <v>0</v>
      </c>
      <c r="G152" s="9">
        <f>E152*F152</f>
        <v>0</v>
      </c>
      <c r="H152">
        <v>0.46005</v>
      </c>
      <c r="I152" s="9">
        <f>E152*H152</f>
        <v>0.9201</v>
      </c>
    </row>
    <row r="154" spans="1:7" ht="12.75">
      <c r="A154" s="8" t="s">
        <v>161</v>
      </c>
      <c r="B154" s="8" t="s">
        <v>507</v>
      </c>
      <c r="C154" t="s">
        <v>508</v>
      </c>
      <c r="D154" s="8" t="s">
        <v>78</v>
      </c>
      <c r="E154" s="9">
        <v>28.5</v>
      </c>
      <c r="F154" s="9">
        <v>0</v>
      </c>
      <c r="G154" s="9">
        <f>E154*F154</f>
        <v>0</v>
      </c>
    </row>
    <row r="156" spans="1:7" ht="12.75">
      <c r="A156" s="8" t="s">
        <v>166</v>
      </c>
      <c r="C156" t="s">
        <v>509</v>
      </c>
      <c r="D156" s="8" t="s">
        <v>78</v>
      </c>
      <c r="E156" s="9">
        <v>33</v>
      </c>
      <c r="F156" s="9">
        <v>0</v>
      </c>
      <c r="G156" s="9">
        <f>E156*F156</f>
        <v>0</v>
      </c>
    </row>
    <row r="158" spans="1:9" ht="13.5" thickBot="1">
      <c r="A158" s="8" t="s">
        <v>170</v>
      </c>
      <c r="C158" t="s">
        <v>510</v>
      </c>
      <c r="D158" s="8" t="s">
        <v>78</v>
      </c>
      <c r="E158" s="9">
        <v>28.5</v>
      </c>
      <c r="F158" s="9">
        <v>0</v>
      </c>
      <c r="G158" s="21">
        <f>E158*F158</f>
        <v>0</v>
      </c>
      <c r="I158" s="21"/>
    </row>
    <row r="159" spans="3:9" ht="12.75">
      <c r="C159" s="3" t="s">
        <v>8</v>
      </c>
      <c r="G159" s="22">
        <f>SUM(G99:G158)</f>
        <v>0</v>
      </c>
      <c r="I159" s="9">
        <f>SUM(I103:I158)</f>
        <v>4.445708249999999</v>
      </c>
    </row>
    <row r="160" spans="3:7" ht="12.75">
      <c r="C160" s="4"/>
      <c r="G160" s="19"/>
    </row>
    <row r="161" spans="2:3" ht="12.75">
      <c r="B161" s="8" t="s">
        <v>262</v>
      </c>
      <c r="C161" s="2" t="s">
        <v>26</v>
      </c>
    </row>
    <row r="162" ht="12.75">
      <c r="C162" s="24"/>
    </row>
    <row r="163" spans="1:7" ht="12.75">
      <c r="A163" s="8" t="s">
        <v>17</v>
      </c>
      <c r="B163" s="8" t="s">
        <v>511</v>
      </c>
      <c r="C163" t="s">
        <v>512</v>
      </c>
      <c r="G163" s="20"/>
    </row>
    <row r="164" spans="3:7" ht="12.75">
      <c r="C164" t="s">
        <v>513</v>
      </c>
      <c r="D164" s="8" t="s">
        <v>78</v>
      </c>
      <c r="E164" s="9">
        <f>15.5+16</f>
        <v>31.5</v>
      </c>
      <c r="F164" s="9">
        <v>0</v>
      </c>
      <c r="G164" s="20">
        <f>E164*F164</f>
        <v>0</v>
      </c>
    </row>
    <row r="165" ht="12.75">
      <c r="G165" s="20"/>
    </row>
    <row r="166" spans="1:3" ht="12.75">
      <c r="A166" s="8" t="s">
        <v>19</v>
      </c>
      <c r="B166" s="8" t="s">
        <v>271</v>
      </c>
      <c r="C166" t="s">
        <v>444</v>
      </c>
    </row>
    <row r="167" spans="3:7" ht="12.75">
      <c r="C167" t="s">
        <v>514</v>
      </c>
      <c r="D167" s="8" t="s">
        <v>36</v>
      </c>
      <c r="E167" s="9">
        <f>0.037*31.5</f>
        <v>1.1655</v>
      </c>
      <c r="F167" s="9">
        <v>0</v>
      </c>
      <c r="G167" s="20">
        <f>E167*F167</f>
        <v>0</v>
      </c>
    </row>
    <row r="168" ht="12.75">
      <c r="G168" s="20"/>
    </row>
    <row r="169" spans="1:3" ht="12.75">
      <c r="A169" s="8" t="s">
        <v>21</v>
      </c>
      <c r="B169" s="8" t="s">
        <v>274</v>
      </c>
      <c r="C169" t="s">
        <v>275</v>
      </c>
    </row>
    <row r="170" spans="3:7" ht="13.5" thickBot="1">
      <c r="C170" t="s">
        <v>515</v>
      </c>
      <c r="D170" s="8" t="s">
        <v>36</v>
      </c>
      <c r="E170" s="9">
        <f>1.17*14</f>
        <v>16.38</v>
      </c>
      <c r="F170" s="9">
        <v>0</v>
      </c>
      <c r="G170" s="21">
        <f>E170*F170</f>
        <v>0</v>
      </c>
    </row>
    <row r="171" spans="3:7" ht="12.75">
      <c r="C171" s="3" t="s">
        <v>8</v>
      </c>
      <c r="G171" s="22">
        <f>SUM(G163:G170)</f>
        <v>0</v>
      </c>
    </row>
  </sheetData>
  <sheetProtection/>
  <autoFilter ref="A35:I171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showZeros="0" defaultGridColor="0" zoomScalePageLayoutView="0" colorId="8" workbookViewId="0" topLeftCell="A1">
      <selection activeCell="A1" sqref="A1"/>
    </sheetView>
  </sheetViews>
  <sheetFormatPr defaultColWidth="11.625" defaultRowHeight="12.75"/>
  <cols>
    <col min="1" max="2" width="11.625" style="0" customWidth="1"/>
    <col min="3" max="3" width="30.125" style="0" customWidth="1"/>
  </cols>
  <sheetData>
    <row r="1" spans="1:9" ht="18">
      <c r="A1" s="8"/>
      <c r="B1" s="8"/>
      <c r="C1" s="1" t="s">
        <v>0</v>
      </c>
      <c r="D1" s="8"/>
      <c r="E1" s="9"/>
      <c r="F1" s="9"/>
      <c r="G1" s="9"/>
      <c r="I1" s="9"/>
    </row>
    <row r="2" spans="1:9" ht="12.75">
      <c r="A2" s="8"/>
      <c r="B2" s="8"/>
      <c r="D2" s="8"/>
      <c r="E2" s="9"/>
      <c r="F2" s="9"/>
      <c r="G2" s="9"/>
      <c r="I2" s="9"/>
    </row>
    <row r="3" spans="1:9" ht="15.75">
      <c r="A3" s="8"/>
      <c r="B3" s="8"/>
      <c r="C3" s="10" t="s">
        <v>14</v>
      </c>
      <c r="D3" s="8"/>
      <c r="E3" s="9"/>
      <c r="F3" s="9"/>
      <c r="G3" s="9"/>
      <c r="I3" s="9"/>
    </row>
    <row r="4" spans="1:9" ht="12.75">
      <c r="A4" s="8"/>
      <c r="B4" s="8"/>
      <c r="D4" s="8"/>
      <c r="E4" s="9"/>
      <c r="F4" s="9"/>
      <c r="G4" s="9"/>
      <c r="I4" s="9"/>
    </row>
    <row r="5" spans="1:9" ht="15.75">
      <c r="A5" s="8"/>
      <c r="B5" s="8"/>
      <c r="C5" s="10" t="s">
        <v>16</v>
      </c>
      <c r="D5" s="8"/>
      <c r="E5" s="9"/>
      <c r="F5" s="9"/>
      <c r="G5" s="9"/>
      <c r="I5" s="9"/>
    </row>
    <row r="6" spans="1:9" ht="12.75">
      <c r="A6" s="8" t="s">
        <v>17</v>
      </c>
      <c r="B6" s="8"/>
      <c r="C6" s="11" t="s">
        <v>18</v>
      </c>
      <c r="D6" s="8"/>
      <c r="E6" s="9"/>
      <c r="F6" s="9"/>
      <c r="G6" s="5">
        <f>G85</f>
        <v>0</v>
      </c>
      <c r="I6" s="5">
        <f>I85</f>
        <v>24.605988</v>
      </c>
    </row>
    <row r="7" spans="1:9" ht="12.75">
      <c r="A7" s="8" t="s">
        <v>19</v>
      </c>
      <c r="B7" s="8"/>
      <c r="C7" s="11" t="s">
        <v>347</v>
      </c>
      <c r="D7" s="8"/>
      <c r="E7" s="9"/>
      <c r="F7" s="9"/>
      <c r="G7" s="5">
        <f>G95</f>
        <v>0</v>
      </c>
      <c r="I7" s="5">
        <f>I95</f>
        <v>9.584157200000002</v>
      </c>
    </row>
    <row r="8" spans="1:9" ht="12.75">
      <c r="A8" s="8" t="s">
        <v>21</v>
      </c>
      <c r="B8" s="8"/>
      <c r="C8" s="11" t="s">
        <v>348</v>
      </c>
      <c r="D8" s="8"/>
      <c r="E8" s="9"/>
      <c r="F8" s="9"/>
      <c r="G8" s="12">
        <f>G125</f>
        <v>0</v>
      </c>
      <c r="I8" s="12">
        <f>I125</f>
        <v>2.05322</v>
      </c>
    </row>
    <row r="9" spans="1:9" ht="12.75">
      <c r="A9" s="8" t="s">
        <v>23</v>
      </c>
      <c r="B9" s="8"/>
      <c r="C9" s="11" t="s">
        <v>26</v>
      </c>
      <c r="D9" s="8"/>
      <c r="E9" s="9"/>
      <c r="F9" s="9"/>
      <c r="G9" s="6">
        <f>G137</f>
        <v>0</v>
      </c>
      <c r="I9" s="6"/>
    </row>
    <row r="10" spans="1:9" ht="12.75">
      <c r="A10" s="8"/>
      <c r="B10" s="8" t="s">
        <v>350</v>
      </c>
      <c r="C10" s="11" t="s">
        <v>32</v>
      </c>
      <c r="D10" s="8"/>
      <c r="E10" s="9"/>
      <c r="F10" s="9"/>
      <c r="G10" s="5">
        <f>SUM(G6:G9)</f>
        <v>0</v>
      </c>
      <c r="I10" s="5">
        <f>SUM(I6:I9)</f>
        <v>36.24336520000001</v>
      </c>
    </row>
    <row r="11" spans="1:9" ht="12.75">
      <c r="A11" s="8" t="s">
        <v>25</v>
      </c>
      <c r="B11" s="8" t="s">
        <v>351</v>
      </c>
      <c r="C11" s="11" t="s">
        <v>35</v>
      </c>
      <c r="D11" s="8" t="s">
        <v>36</v>
      </c>
      <c r="E11" s="9">
        <f>I10</f>
        <v>36.24336520000001</v>
      </c>
      <c r="F11" s="9"/>
      <c r="G11" s="6">
        <f>E11*F11</f>
        <v>0</v>
      </c>
      <c r="I11" s="9"/>
    </row>
    <row r="12" spans="1:9" ht="12.75">
      <c r="A12" s="8"/>
      <c r="B12" s="8"/>
      <c r="C12" s="3" t="s">
        <v>8</v>
      </c>
      <c r="D12" s="8"/>
      <c r="E12" s="9"/>
      <c r="F12" s="9"/>
      <c r="G12" s="7">
        <f>SUM(G10:G11)</f>
        <v>0</v>
      </c>
      <c r="I12" s="9"/>
    </row>
    <row r="13" spans="1:9" ht="12.75">
      <c r="A13" s="8"/>
      <c r="B13" s="8"/>
      <c r="D13" s="8"/>
      <c r="E13" s="9"/>
      <c r="F13" s="9"/>
      <c r="G13" s="9"/>
      <c r="I13" s="9"/>
    </row>
    <row r="14" spans="1:9" ht="15.75">
      <c r="A14" s="8"/>
      <c r="B14" s="8"/>
      <c r="C14" s="10" t="s">
        <v>39</v>
      </c>
      <c r="D14" s="8"/>
      <c r="E14" s="9"/>
      <c r="F14" s="9"/>
      <c r="G14" s="5"/>
      <c r="I14" s="9"/>
    </row>
    <row r="15" spans="1:9" ht="12.75">
      <c r="A15" s="8" t="s">
        <v>17</v>
      </c>
      <c r="B15" s="8"/>
      <c r="C15" t="s">
        <v>40</v>
      </c>
      <c r="D15" s="8" t="s">
        <v>41</v>
      </c>
      <c r="E15" s="9">
        <f>G12</f>
        <v>0</v>
      </c>
      <c r="F15" s="13">
        <v>0.023</v>
      </c>
      <c r="G15" s="5">
        <f>E15*F15</f>
        <v>0</v>
      </c>
      <c r="I15" s="9"/>
    </row>
    <row r="16" spans="1:9" ht="12.75">
      <c r="A16" s="8" t="s">
        <v>19</v>
      </c>
      <c r="B16" s="8"/>
      <c r="C16" t="s">
        <v>42</v>
      </c>
      <c r="D16" s="8" t="s">
        <v>41</v>
      </c>
      <c r="E16" s="9">
        <f>G12</f>
        <v>0</v>
      </c>
      <c r="F16" s="13">
        <v>0.032</v>
      </c>
      <c r="G16" s="6">
        <f>E16*F16</f>
        <v>0</v>
      </c>
      <c r="I16" s="9"/>
    </row>
    <row r="17" spans="1:9" ht="12.75">
      <c r="A17" s="8"/>
      <c r="B17" s="8"/>
      <c r="C17" s="3" t="s">
        <v>8</v>
      </c>
      <c r="D17" s="8"/>
      <c r="E17" s="9"/>
      <c r="F17" s="9"/>
      <c r="G17" s="7">
        <f>SUM(G15:G16)</f>
        <v>0</v>
      </c>
      <c r="I17" s="9"/>
    </row>
    <row r="18" spans="1:9" ht="12.75">
      <c r="A18" s="8"/>
      <c r="B18" s="8"/>
      <c r="D18" s="8"/>
      <c r="E18" s="9"/>
      <c r="F18" s="9"/>
      <c r="G18" s="5"/>
      <c r="I18" s="9"/>
    </row>
    <row r="19" spans="1:9" ht="15.75">
      <c r="A19" s="8"/>
      <c r="B19" s="8"/>
      <c r="C19" s="10" t="s">
        <v>8</v>
      </c>
      <c r="D19" s="8"/>
      <c r="E19" s="9"/>
      <c r="F19" s="9"/>
      <c r="G19" s="7">
        <f>G12+G17</f>
        <v>0</v>
      </c>
      <c r="I19" s="9"/>
    </row>
    <row r="20" spans="1:9" ht="15.75">
      <c r="A20" s="8"/>
      <c r="B20" s="8"/>
      <c r="C20" s="10" t="s">
        <v>9</v>
      </c>
      <c r="D20" s="8" t="s">
        <v>41</v>
      </c>
      <c r="E20" s="9">
        <f>G19</f>
        <v>0</v>
      </c>
      <c r="F20" s="9">
        <v>0.21</v>
      </c>
      <c r="G20" s="7">
        <f>E20*F20</f>
        <v>0</v>
      </c>
      <c r="I20" s="9"/>
    </row>
    <row r="21" spans="1:9" ht="15.75">
      <c r="A21" s="8"/>
      <c r="B21" s="8"/>
      <c r="C21" s="10" t="s">
        <v>43</v>
      </c>
      <c r="D21" s="8"/>
      <c r="E21" s="9"/>
      <c r="F21" s="9"/>
      <c r="G21" s="7">
        <f>SUM(G19:G20)</f>
        <v>0</v>
      </c>
      <c r="I21" s="9"/>
    </row>
    <row r="22" spans="1:9" ht="12.75">
      <c r="A22" s="8"/>
      <c r="B22" s="8"/>
      <c r="D22" s="8"/>
      <c r="E22" s="9"/>
      <c r="F22" s="9"/>
      <c r="G22" s="9"/>
      <c r="I22" s="9"/>
    </row>
    <row r="23" spans="1:9" ht="12.75">
      <c r="A23" s="8"/>
      <c r="B23" s="8"/>
      <c r="D23" s="8"/>
      <c r="E23" s="9"/>
      <c r="F23" s="9"/>
      <c r="G23" s="9"/>
      <c r="I23" s="9"/>
    </row>
    <row r="24" spans="1:9" ht="12.75">
      <c r="A24" s="8"/>
      <c r="B24" s="8"/>
      <c r="D24" s="8"/>
      <c r="E24" s="9"/>
      <c r="F24" s="9"/>
      <c r="G24" s="9"/>
      <c r="I24" s="9"/>
    </row>
    <row r="25" spans="1:9" ht="12.75">
      <c r="A25" s="8"/>
      <c r="B25" s="8"/>
      <c r="D25" s="8"/>
      <c r="E25" s="9"/>
      <c r="F25" s="9"/>
      <c r="G25" s="9"/>
      <c r="I25" s="9"/>
    </row>
    <row r="26" spans="1:9" ht="12.75">
      <c r="A26" s="8"/>
      <c r="B26" s="8"/>
      <c r="D26" s="8"/>
      <c r="E26" s="9"/>
      <c r="F26" s="9"/>
      <c r="G26" s="9"/>
      <c r="I26" s="9"/>
    </row>
    <row r="27" spans="1:9" ht="12.75">
      <c r="A27" s="8"/>
      <c r="B27" s="8"/>
      <c r="D27" s="8"/>
      <c r="E27" s="9"/>
      <c r="F27" s="9"/>
      <c r="G27" s="9"/>
      <c r="I27" s="9"/>
    </row>
    <row r="28" spans="1:9" ht="12.75">
      <c r="A28" s="8"/>
      <c r="B28" s="8"/>
      <c r="D28" s="8"/>
      <c r="E28" s="9"/>
      <c r="F28" s="9"/>
      <c r="G28" s="9"/>
      <c r="I28" s="9"/>
    </row>
    <row r="29" spans="1:9" ht="12.75">
      <c r="A29" s="8"/>
      <c r="B29" s="8"/>
      <c r="D29" s="8"/>
      <c r="E29" s="9"/>
      <c r="F29" s="9"/>
      <c r="G29" s="9"/>
      <c r="I29" s="9"/>
    </row>
    <row r="30" spans="1:9" ht="12.75">
      <c r="A30" s="8"/>
      <c r="B30" s="8"/>
      <c r="D30" s="8"/>
      <c r="E30" s="9"/>
      <c r="F30" s="9"/>
      <c r="G30" s="9"/>
      <c r="I30" s="9"/>
    </row>
    <row r="31" spans="1:9" ht="12.75">
      <c r="A31" s="8"/>
      <c r="B31" s="8"/>
      <c r="D31" s="8"/>
      <c r="E31" s="9"/>
      <c r="F31" s="9"/>
      <c r="G31" s="9"/>
      <c r="I31" s="9"/>
    </row>
    <row r="32" spans="1:9" ht="12.75">
      <c r="A32" s="8"/>
      <c r="B32" s="8"/>
      <c r="D32" s="8"/>
      <c r="E32" s="9"/>
      <c r="F32" s="9"/>
      <c r="G32" s="9"/>
      <c r="I32" s="9"/>
    </row>
    <row r="33" spans="1:9" ht="12.75">
      <c r="A33" s="8"/>
      <c r="B33" s="8"/>
      <c r="D33" s="8"/>
      <c r="E33" s="9"/>
      <c r="F33" s="9"/>
      <c r="G33" s="9"/>
      <c r="I33" s="9"/>
    </row>
    <row r="34" spans="1:9" ht="12.75">
      <c r="A34" s="8"/>
      <c r="B34" s="8"/>
      <c r="D34" s="8"/>
      <c r="E34" s="9"/>
      <c r="F34" s="9"/>
      <c r="G34" s="9"/>
      <c r="I34" s="9"/>
    </row>
    <row r="35" spans="1:9" ht="12.75">
      <c r="A35" s="8" t="s">
        <v>44</v>
      </c>
      <c r="B35" s="8" t="s">
        <v>45</v>
      </c>
      <c r="C35" s="8" t="s">
        <v>46</v>
      </c>
      <c r="D35" s="8" t="s">
        <v>47</v>
      </c>
      <c r="E35" s="14" t="s">
        <v>48</v>
      </c>
      <c r="F35" s="14" t="s">
        <v>49</v>
      </c>
      <c r="G35" s="14" t="s">
        <v>8</v>
      </c>
      <c r="H35" s="8" t="s">
        <v>50</v>
      </c>
      <c r="I35" s="14" t="s">
        <v>51</v>
      </c>
    </row>
    <row r="36" spans="1:9" ht="12.75">
      <c r="A36" s="8"/>
      <c r="B36" s="8"/>
      <c r="D36" s="8"/>
      <c r="E36" s="9"/>
      <c r="F36" s="9"/>
      <c r="G36" s="9"/>
      <c r="I36" s="9"/>
    </row>
    <row r="37" spans="1:9" ht="12.75">
      <c r="A37" s="8"/>
      <c r="B37" s="8" t="s">
        <v>52</v>
      </c>
      <c r="C37" s="2" t="s">
        <v>18</v>
      </c>
      <c r="D37" s="8"/>
      <c r="E37" s="9"/>
      <c r="F37" s="9"/>
      <c r="G37" s="9"/>
      <c r="I37" s="9"/>
    </row>
    <row r="38" spans="1:9" ht="12.75">
      <c r="A38" s="8"/>
      <c r="B38" s="8"/>
      <c r="D38" s="8"/>
      <c r="E38" s="9"/>
      <c r="F38" s="9"/>
      <c r="G38" s="9"/>
      <c r="I38" s="9"/>
    </row>
    <row r="39" spans="1:9" ht="12.75">
      <c r="A39" s="8" t="s">
        <v>17</v>
      </c>
      <c r="B39" s="8" t="s">
        <v>352</v>
      </c>
      <c r="C39" t="s">
        <v>353</v>
      </c>
      <c r="D39" s="8"/>
      <c r="E39" s="9"/>
      <c r="F39" s="9"/>
      <c r="G39" s="9"/>
      <c r="I39" s="9"/>
    </row>
    <row r="40" spans="1:9" ht="12.75">
      <c r="A40" s="8"/>
      <c r="B40" s="8"/>
      <c r="C40" t="s">
        <v>455</v>
      </c>
      <c r="D40" s="8"/>
      <c r="E40" s="9"/>
      <c r="F40" s="9"/>
      <c r="G40" s="9"/>
      <c r="I40" s="9"/>
    </row>
    <row r="41" spans="1:9" ht="12.75">
      <c r="A41" s="8"/>
      <c r="B41" s="8"/>
      <c r="C41" t="s">
        <v>516</v>
      </c>
      <c r="D41" s="8" t="s">
        <v>62</v>
      </c>
      <c r="E41" s="9">
        <v>145.2</v>
      </c>
      <c r="F41" s="9"/>
      <c r="G41" s="9">
        <f>E41*F41</f>
        <v>0</v>
      </c>
      <c r="I41" s="9"/>
    </row>
    <row r="42" spans="1:9" ht="12.75">
      <c r="A42" s="8"/>
      <c r="B42" s="8"/>
      <c r="C42" t="s">
        <v>517</v>
      </c>
      <c r="D42" s="8"/>
      <c r="E42" s="9"/>
      <c r="F42" s="9"/>
      <c r="G42" s="9"/>
      <c r="I42" s="9"/>
    </row>
    <row r="43" spans="1:9" ht="12.75">
      <c r="A43" s="8"/>
      <c r="B43" s="8"/>
      <c r="C43" t="s">
        <v>518</v>
      </c>
      <c r="D43" s="8" t="s">
        <v>62</v>
      </c>
      <c r="E43" s="19">
        <v>20</v>
      </c>
      <c r="F43" s="9"/>
      <c r="G43" s="9">
        <f>E43*F43</f>
        <v>0</v>
      </c>
      <c r="I43" s="9"/>
    </row>
    <row r="44" spans="1:9" ht="12.75">
      <c r="A44" s="8"/>
      <c r="B44" s="8"/>
      <c r="C44" t="s">
        <v>519</v>
      </c>
      <c r="D44" s="8"/>
      <c r="E44" s="19"/>
      <c r="F44" s="9"/>
      <c r="G44" s="9"/>
      <c r="I44" s="9"/>
    </row>
    <row r="45" spans="1:9" ht="12.75">
      <c r="A45" s="8"/>
      <c r="B45" s="8"/>
      <c r="C45" t="s">
        <v>520</v>
      </c>
      <c r="D45" s="8" t="s">
        <v>62</v>
      </c>
      <c r="E45" s="18">
        <v>145</v>
      </c>
      <c r="F45" s="9"/>
      <c r="G45" s="9">
        <f>E45*F45</f>
        <v>0</v>
      </c>
      <c r="I45" s="9"/>
    </row>
    <row r="46" spans="1:9" ht="12.75">
      <c r="A46" s="8"/>
      <c r="B46" s="8"/>
      <c r="D46" s="8" t="s">
        <v>62</v>
      </c>
      <c r="E46" s="9">
        <f>SUM(E41,E45)</f>
        <v>290.2</v>
      </c>
      <c r="F46" s="9"/>
      <c r="G46" s="9"/>
      <c r="I46" s="9"/>
    </row>
    <row r="47" spans="1:9" ht="12.75">
      <c r="A47" s="8"/>
      <c r="B47" s="8"/>
      <c r="C47" t="s">
        <v>521</v>
      </c>
      <c r="D47" s="8" t="s">
        <v>62</v>
      </c>
      <c r="E47" s="9">
        <v>145.1</v>
      </c>
      <c r="F47" s="9">
        <v>0</v>
      </c>
      <c r="G47" s="9">
        <f>E47*F47</f>
        <v>0</v>
      </c>
      <c r="I47" s="9"/>
    </row>
    <row r="48" spans="1:9" ht="12.75">
      <c r="A48" s="8"/>
      <c r="B48" s="8"/>
      <c r="D48" s="8"/>
      <c r="E48" s="9"/>
      <c r="F48" s="9"/>
      <c r="G48" s="9"/>
      <c r="I48" s="9"/>
    </row>
    <row r="49" spans="1:9" ht="12.75">
      <c r="A49" s="8" t="s">
        <v>19</v>
      </c>
      <c r="B49" s="8" t="s">
        <v>361</v>
      </c>
      <c r="C49" t="s">
        <v>70</v>
      </c>
      <c r="D49" s="8"/>
      <c r="E49" s="9"/>
      <c r="F49" s="9"/>
      <c r="G49" s="9"/>
      <c r="I49" s="9"/>
    </row>
    <row r="50" spans="1:9" ht="12.75">
      <c r="A50" s="8"/>
      <c r="B50" s="8"/>
      <c r="C50" t="s">
        <v>522</v>
      </c>
      <c r="D50" s="8" t="s">
        <v>62</v>
      </c>
      <c r="E50" s="9">
        <v>72.55</v>
      </c>
      <c r="F50" s="9">
        <v>0</v>
      </c>
      <c r="G50" s="9">
        <f>E50*F50</f>
        <v>0</v>
      </c>
      <c r="I50" s="9"/>
    </row>
    <row r="51" spans="1:9" ht="12.75">
      <c r="A51" s="8"/>
      <c r="B51" s="8"/>
      <c r="D51" s="8"/>
      <c r="E51" s="9"/>
      <c r="F51" s="9"/>
      <c r="G51" s="9"/>
      <c r="I51" s="9"/>
    </row>
    <row r="52" spans="1:9" ht="12.75">
      <c r="A52" s="8" t="s">
        <v>21</v>
      </c>
      <c r="B52" s="8" t="s">
        <v>363</v>
      </c>
      <c r="C52" t="s">
        <v>364</v>
      </c>
      <c r="D52" s="8"/>
      <c r="E52" s="19"/>
      <c r="F52" s="9"/>
      <c r="G52" s="9"/>
      <c r="I52" s="9"/>
    </row>
    <row r="53" spans="1:9" ht="12.75">
      <c r="A53" s="8"/>
      <c r="B53" s="8"/>
      <c r="C53" t="s">
        <v>521</v>
      </c>
      <c r="D53" s="8" t="s">
        <v>62</v>
      </c>
      <c r="E53" s="9">
        <v>145.1</v>
      </c>
      <c r="F53" s="9">
        <v>0</v>
      </c>
      <c r="G53" s="9">
        <f>E53*F53</f>
        <v>0</v>
      </c>
      <c r="I53" s="9"/>
    </row>
    <row r="54" spans="1:9" ht="12.75">
      <c r="A54" s="8"/>
      <c r="B54" s="8"/>
      <c r="D54" s="8"/>
      <c r="E54" s="9"/>
      <c r="F54" s="9"/>
      <c r="G54" s="9"/>
      <c r="I54" s="9"/>
    </row>
    <row r="55" spans="1:9" ht="12.75">
      <c r="A55" s="8" t="s">
        <v>23</v>
      </c>
      <c r="B55" s="8" t="s">
        <v>365</v>
      </c>
      <c r="C55" t="s">
        <v>75</v>
      </c>
      <c r="D55" s="8"/>
      <c r="E55" s="9"/>
      <c r="F55" s="9"/>
      <c r="G55" s="9"/>
      <c r="I55" s="9"/>
    </row>
    <row r="56" spans="1:9" ht="12.75">
      <c r="A56" s="8"/>
      <c r="B56" s="8"/>
      <c r="C56" t="s">
        <v>522</v>
      </c>
      <c r="D56" s="8" t="s">
        <v>62</v>
      </c>
      <c r="E56" s="9">
        <v>72.55</v>
      </c>
      <c r="F56" s="9">
        <v>0</v>
      </c>
      <c r="G56" s="9">
        <f>E56*F56</f>
        <v>0</v>
      </c>
      <c r="I56" s="9"/>
    </row>
    <row r="57" spans="1:9" ht="12.75">
      <c r="A57" s="8"/>
      <c r="B57" s="8"/>
      <c r="D57" s="8"/>
      <c r="E57" s="9"/>
      <c r="F57" s="9"/>
      <c r="G57" s="9"/>
      <c r="I57" s="9"/>
    </row>
    <row r="58" spans="1:9" ht="12.75">
      <c r="A58" s="8" t="s">
        <v>25</v>
      </c>
      <c r="B58" s="8" t="s">
        <v>366</v>
      </c>
      <c r="C58" t="s">
        <v>523</v>
      </c>
      <c r="D58" s="8"/>
      <c r="E58" s="9"/>
      <c r="F58" s="9"/>
      <c r="G58" s="9"/>
      <c r="I58" s="9"/>
    </row>
    <row r="59" spans="1:9" ht="12.75">
      <c r="A59" s="8"/>
      <c r="B59" s="8"/>
      <c r="C59" t="s">
        <v>524</v>
      </c>
      <c r="D59" s="8" t="s">
        <v>84</v>
      </c>
      <c r="E59" s="9">
        <v>242</v>
      </c>
      <c r="F59" s="9">
        <v>0</v>
      </c>
      <c r="G59" s="9">
        <f>E59*F59</f>
        <v>0</v>
      </c>
      <c r="H59">
        <v>0.00084</v>
      </c>
      <c r="I59" s="9">
        <f>E59*H59</f>
        <v>0.20328000000000002</v>
      </c>
    </row>
    <row r="60" spans="1:9" ht="12.75">
      <c r="A60" s="8"/>
      <c r="B60" s="8"/>
      <c r="D60" s="8"/>
      <c r="E60" s="9"/>
      <c r="F60" s="9"/>
      <c r="G60" s="9"/>
      <c r="I60" s="9"/>
    </row>
    <row r="61" spans="1:9" ht="12.75">
      <c r="A61" s="8" t="s">
        <v>27</v>
      </c>
      <c r="B61" s="8" t="s">
        <v>369</v>
      </c>
      <c r="C61" t="s">
        <v>525</v>
      </c>
      <c r="D61" s="8" t="s">
        <v>84</v>
      </c>
      <c r="E61" s="9">
        <v>242</v>
      </c>
      <c r="F61" s="9">
        <v>0</v>
      </c>
      <c r="G61" s="9">
        <f>E61*F61</f>
        <v>0</v>
      </c>
      <c r="I61" s="9"/>
    </row>
    <row r="62" spans="1:9" ht="12.75">
      <c r="A62" s="8"/>
      <c r="B62" s="8"/>
      <c r="D62" s="8"/>
      <c r="E62" s="9"/>
      <c r="F62" s="9"/>
      <c r="G62" s="9"/>
      <c r="I62" s="9"/>
    </row>
    <row r="63" spans="1:9" ht="12.75">
      <c r="A63" s="8" t="s">
        <v>29</v>
      </c>
      <c r="B63" s="8" t="s">
        <v>371</v>
      </c>
      <c r="C63" t="s">
        <v>372</v>
      </c>
      <c r="D63" s="8" t="s">
        <v>62</v>
      </c>
      <c r="E63" s="9">
        <v>242</v>
      </c>
      <c r="F63" s="9">
        <v>0</v>
      </c>
      <c r="G63" s="9">
        <f>E63*F63</f>
        <v>0</v>
      </c>
      <c r="I63" s="9"/>
    </row>
    <row r="64" spans="1:9" ht="12.75">
      <c r="A64" s="8"/>
      <c r="B64" s="8"/>
      <c r="D64" s="8"/>
      <c r="E64" s="9"/>
      <c r="F64" s="9"/>
      <c r="G64" s="9"/>
      <c r="I64" s="9"/>
    </row>
    <row r="65" spans="1:9" ht="12.75">
      <c r="A65" s="8" t="s">
        <v>33</v>
      </c>
      <c r="B65" s="8" t="s">
        <v>373</v>
      </c>
      <c r="C65" t="s">
        <v>374</v>
      </c>
      <c r="D65" s="8"/>
      <c r="E65" s="9"/>
      <c r="F65" s="9"/>
      <c r="G65" s="9"/>
      <c r="I65" s="9"/>
    </row>
    <row r="66" spans="1:9" ht="12.75">
      <c r="A66" s="8"/>
      <c r="B66" s="8"/>
      <c r="C66" t="s">
        <v>526</v>
      </c>
      <c r="D66" s="8" t="s">
        <v>62</v>
      </c>
      <c r="E66" s="9">
        <f>1.2*0.45*22</f>
        <v>11.88</v>
      </c>
      <c r="F66" s="9">
        <v>0</v>
      </c>
      <c r="G66" s="9">
        <f>E66*F66</f>
        <v>0</v>
      </c>
      <c r="I66" s="9"/>
    </row>
    <row r="67" spans="1:9" ht="12.75">
      <c r="A67" s="8"/>
      <c r="B67" s="8" t="s">
        <v>105</v>
      </c>
      <c r="D67" s="8"/>
      <c r="E67" s="9"/>
      <c r="F67" s="9"/>
      <c r="G67" s="9"/>
      <c r="I67" s="9"/>
    </row>
    <row r="68" spans="1:9" ht="12.75">
      <c r="A68" s="8" t="s">
        <v>37</v>
      </c>
      <c r="B68" s="16">
        <v>583313400</v>
      </c>
      <c r="C68" t="s">
        <v>209</v>
      </c>
      <c r="D68" s="8"/>
      <c r="E68" s="9"/>
      <c r="F68" s="9"/>
      <c r="G68" s="9"/>
      <c r="I68" s="9"/>
    </row>
    <row r="69" spans="1:9" ht="12.75">
      <c r="A69" s="8"/>
      <c r="B69" s="8"/>
      <c r="C69" t="s">
        <v>527</v>
      </c>
      <c r="D69" s="8" t="s">
        <v>36</v>
      </c>
      <c r="E69" s="9">
        <f>11.88*1.67*1.23</f>
        <v>24.402708</v>
      </c>
      <c r="F69" s="9">
        <v>0</v>
      </c>
      <c r="G69" s="9">
        <f>E69*F69</f>
        <v>0</v>
      </c>
      <c r="H69">
        <v>1</v>
      </c>
      <c r="I69" s="9">
        <f>E69*H69</f>
        <v>24.402708</v>
      </c>
    </row>
    <row r="70" spans="1:9" ht="12.75">
      <c r="A70" s="8"/>
      <c r="B70" s="8"/>
      <c r="D70" s="8"/>
      <c r="E70" s="9"/>
      <c r="F70" s="9"/>
      <c r="G70" s="9"/>
      <c r="I70" s="9"/>
    </row>
    <row r="71" spans="1:9" ht="12.75">
      <c r="A71" s="8" t="s">
        <v>101</v>
      </c>
      <c r="B71" s="8" t="s">
        <v>378</v>
      </c>
      <c r="C71" t="s">
        <v>379</v>
      </c>
      <c r="D71" s="8"/>
      <c r="E71" s="9"/>
      <c r="F71" s="9"/>
      <c r="G71" s="9"/>
      <c r="I71" s="9"/>
    </row>
    <row r="72" spans="1:9" ht="12.75">
      <c r="A72" s="8"/>
      <c r="B72" s="8"/>
      <c r="C72" t="s">
        <v>380</v>
      </c>
      <c r="D72" s="8" t="s">
        <v>62</v>
      </c>
      <c r="E72" s="9">
        <v>290.2</v>
      </c>
      <c r="F72" s="9"/>
      <c r="G72" s="9">
        <f>E72*F72</f>
        <v>0</v>
      </c>
      <c r="I72" s="9"/>
    </row>
    <row r="73" spans="1:9" ht="12.75">
      <c r="A73" s="8"/>
      <c r="B73" s="8"/>
      <c r="C73" t="s">
        <v>381</v>
      </c>
      <c r="D73" s="8"/>
      <c r="E73" s="9"/>
      <c r="F73" s="9"/>
      <c r="G73" s="9"/>
      <c r="I73" s="9"/>
    </row>
    <row r="74" spans="1:9" ht="12.75">
      <c r="A74" s="8"/>
      <c r="B74" s="8"/>
      <c r="C74" s="4" t="s">
        <v>528</v>
      </c>
      <c r="D74" s="8" t="s">
        <v>62</v>
      </c>
      <c r="E74" s="9">
        <f>1.2*0.45*22*-2</f>
        <v>-23.76</v>
      </c>
      <c r="F74" s="9"/>
      <c r="G74" s="9">
        <f>E74*F74</f>
        <v>0</v>
      </c>
      <c r="I74" s="9"/>
    </row>
    <row r="75" spans="1:9" ht="12.75">
      <c r="A75" s="8"/>
      <c r="B75" s="8"/>
      <c r="C75" t="s">
        <v>467</v>
      </c>
      <c r="D75" s="8" t="s">
        <v>62</v>
      </c>
      <c r="E75" s="18">
        <f>2.5*2.5*0.25*-1+0.75*0.75*3.14*1.38*-1</f>
        <v>-3.9999249999999997</v>
      </c>
      <c r="F75" s="9"/>
      <c r="G75" s="9">
        <f>E75*F75</f>
        <v>0</v>
      </c>
      <c r="I75" s="9"/>
    </row>
    <row r="76" spans="1:9" ht="12.75">
      <c r="A76" s="8"/>
      <c r="B76" s="8"/>
      <c r="D76" s="8" t="s">
        <v>62</v>
      </c>
      <c r="E76" s="9">
        <f>SUM(E72:E75)</f>
        <v>262.440075</v>
      </c>
      <c r="F76" s="9">
        <v>0</v>
      </c>
      <c r="G76" s="9"/>
      <c r="I76" s="9"/>
    </row>
    <row r="77" spans="1:9" ht="12.75">
      <c r="A77" s="8"/>
      <c r="B77" s="8"/>
      <c r="D77" s="8"/>
      <c r="E77" s="9"/>
      <c r="F77" s="9"/>
      <c r="G77" s="9"/>
      <c r="I77" s="9"/>
    </row>
    <row r="78" spans="1:9" ht="12.75">
      <c r="A78" s="8" t="s">
        <v>106</v>
      </c>
      <c r="B78" s="8" t="s">
        <v>138</v>
      </c>
      <c r="C78" t="s">
        <v>154</v>
      </c>
      <c r="D78" s="8"/>
      <c r="E78" s="9"/>
      <c r="F78" s="9"/>
      <c r="G78" s="9"/>
      <c r="I78" s="9"/>
    </row>
    <row r="79" spans="1:9" ht="12.75">
      <c r="A79" s="8"/>
      <c r="B79" s="8"/>
      <c r="C79" t="s">
        <v>385</v>
      </c>
      <c r="D79" s="8" t="s">
        <v>62</v>
      </c>
      <c r="E79" s="17">
        <v>290.2</v>
      </c>
      <c r="F79" s="9"/>
      <c r="G79" s="9">
        <f>E79*F79</f>
        <v>0</v>
      </c>
      <c r="I79" s="9"/>
    </row>
    <row r="80" spans="1:9" ht="12.75">
      <c r="A80" s="8"/>
      <c r="B80" s="8"/>
      <c r="C80" t="s">
        <v>386</v>
      </c>
      <c r="D80" s="8" t="s">
        <v>62</v>
      </c>
      <c r="E80" s="18">
        <v>278.3</v>
      </c>
      <c r="F80" s="9"/>
      <c r="G80" s="9">
        <f>E80*F80</f>
        <v>0</v>
      </c>
      <c r="I80" s="9"/>
    </row>
    <row r="81" spans="1:9" ht="12.75">
      <c r="A81" s="8"/>
      <c r="B81" s="8"/>
      <c r="D81" s="8" t="s">
        <v>62</v>
      </c>
      <c r="E81" s="9">
        <f>SUM(E79:E80)</f>
        <v>568.5</v>
      </c>
      <c r="F81" s="9">
        <v>0</v>
      </c>
      <c r="G81" s="9"/>
      <c r="I81" s="9"/>
    </row>
    <row r="82" spans="1:9" ht="12.75">
      <c r="A82" s="8"/>
      <c r="B82" s="8"/>
      <c r="D82" s="8"/>
      <c r="E82" s="9"/>
      <c r="F82" s="9"/>
      <c r="G82" s="9"/>
      <c r="I82" s="9"/>
    </row>
    <row r="83" spans="1:9" ht="12.75">
      <c r="A83" s="8" t="s">
        <v>109</v>
      </c>
      <c r="B83" s="8" t="s">
        <v>162</v>
      </c>
      <c r="C83" t="s">
        <v>163</v>
      </c>
      <c r="D83" s="8"/>
      <c r="E83" s="9"/>
      <c r="F83" s="9"/>
      <c r="G83" s="20"/>
      <c r="I83" s="9"/>
    </row>
    <row r="84" spans="1:9" ht="12.75">
      <c r="A84" s="8"/>
      <c r="B84" s="8"/>
      <c r="C84" t="s">
        <v>387</v>
      </c>
      <c r="D84" s="8" t="s">
        <v>62</v>
      </c>
      <c r="E84" s="9">
        <v>290.2</v>
      </c>
      <c r="F84" s="9">
        <v>0</v>
      </c>
      <c r="G84" s="21">
        <f>E84*F84</f>
        <v>0</v>
      </c>
      <c r="I84" s="21"/>
    </row>
    <row r="85" spans="1:9" ht="12.75">
      <c r="A85" s="8"/>
      <c r="B85" s="8"/>
      <c r="C85" s="3" t="s">
        <v>8</v>
      </c>
      <c r="D85" s="8"/>
      <c r="E85" s="9"/>
      <c r="F85" s="9"/>
      <c r="G85" s="22">
        <f>SUM(G41:G84)</f>
        <v>0</v>
      </c>
      <c r="I85" s="9">
        <f>SUM(I41:I84)</f>
        <v>24.605988</v>
      </c>
    </row>
    <row r="86" spans="1:9" ht="12.75">
      <c r="A86" s="8"/>
      <c r="B86" s="8"/>
      <c r="D86" s="8"/>
      <c r="E86" s="9"/>
      <c r="F86" s="9"/>
      <c r="G86" s="9"/>
      <c r="I86" s="9"/>
    </row>
    <row r="87" spans="1:9" ht="12.75">
      <c r="A87" s="8"/>
      <c r="B87" s="8" t="s">
        <v>350</v>
      </c>
      <c r="C87" s="2" t="s">
        <v>347</v>
      </c>
      <c r="D87" s="8"/>
      <c r="E87" s="9"/>
      <c r="F87" s="9"/>
      <c r="G87" s="9"/>
      <c r="I87" s="9"/>
    </row>
    <row r="88" spans="1:9" ht="12.75">
      <c r="A88" s="8"/>
      <c r="B88" s="8"/>
      <c r="D88" s="8"/>
      <c r="E88" s="9"/>
      <c r="F88" s="9"/>
      <c r="G88" s="9"/>
      <c r="I88" s="9"/>
    </row>
    <row r="89" spans="1:9" ht="12.75">
      <c r="A89" s="8" t="s">
        <v>17</v>
      </c>
      <c r="B89" s="8" t="s">
        <v>388</v>
      </c>
      <c r="C89" t="s">
        <v>389</v>
      </c>
      <c r="D89" s="8"/>
      <c r="E89" s="9"/>
      <c r="F89" s="9"/>
      <c r="G89" s="9"/>
      <c r="I89" s="9"/>
    </row>
    <row r="90" spans="1:9" ht="12.75">
      <c r="A90" s="8"/>
      <c r="B90" s="8"/>
      <c r="C90" t="s">
        <v>529</v>
      </c>
      <c r="D90" s="8" t="s">
        <v>62</v>
      </c>
      <c r="E90" s="9">
        <f>1.2*0.15*22+2*2*0.1</f>
        <v>4.36</v>
      </c>
      <c r="F90" s="9">
        <v>0</v>
      </c>
      <c r="G90" s="20">
        <f>E90*F90</f>
        <v>0</v>
      </c>
      <c r="H90">
        <v>1.89077</v>
      </c>
      <c r="I90" s="20">
        <f>E90*H90</f>
        <v>8.243757200000001</v>
      </c>
    </row>
    <row r="91" spans="1:9" ht="12.75">
      <c r="A91" s="8"/>
      <c r="B91" s="8"/>
      <c r="D91" s="8"/>
      <c r="E91" s="9"/>
      <c r="F91" s="9"/>
      <c r="G91" s="20"/>
      <c r="I91" s="20"/>
    </row>
    <row r="92" spans="1:9" ht="12.75">
      <c r="A92" s="8" t="s">
        <v>19</v>
      </c>
      <c r="B92" s="8" t="s">
        <v>391</v>
      </c>
      <c r="C92" t="s">
        <v>392</v>
      </c>
      <c r="D92" s="8"/>
      <c r="E92" s="9"/>
      <c r="F92" s="9"/>
      <c r="G92" s="9"/>
      <c r="I92" s="9"/>
    </row>
    <row r="93" spans="1:9" ht="12.75">
      <c r="A93" s="8"/>
      <c r="B93" s="8"/>
      <c r="C93" t="s">
        <v>530</v>
      </c>
      <c r="D93" s="8"/>
      <c r="E93" s="9"/>
      <c r="F93" s="9"/>
      <c r="G93" s="9"/>
      <c r="I93" s="9"/>
    </row>
    <row r="94" spans="1:9" ht="12.75">
      <c r="A94" s="8"/>
      <c r="B94" s="8"/>
      <c r="C94" t="s">
        <v>531</v>
      </c>
      <c r="D94" s="8" t="s">
        <v>62</v>
      </c>
      <c r="E94" s="9">
        <f>2*2*0.15</f>
        <v>0.6</v>
      </c>
      <c r="F94" s="9">
        <v>0</v>
      </c>
      <c r="G94" s="21">
        <f>E94*F94</f>
        <v>0</v>
      </c>
      <c r="H94">
        <v>2.234</v>
      </c>
      <c r="I94" s="21">
        <f>E94*H94</f>
        <v>1.3404</v>
      </c>
    </row>
    <row r="95" spans="1:9" ht="12.75">
      <c r="A95" s="8"/>
      <c r="B95" s="8"/>
      <c r="C95" s="3" t="s">
        <v>8</v>
      </c>
      <c r="D95" s="8"/>
      <c r="E95" s="9"/>
      <c r="F95" s="9"/>
      <c r="G95" s="22">
        <f>SUM(G90:G94)</f>
        <v>0</v>
      </c>
      <c r="I95" s="9">
        <f>SUM(I90:I94)</f>
        <v>9.584157200000002</v>
      </c>
    </row>
    <row r="96" spans="1:9" ht="12.75">
      <c r="A96" s="8"/>
      <c r="B96" s="8"/>
      <c r="D96" s="8"/>
      <c r="E96" s="9"/>
      <c r="F96" s="9"/>
      <c r="G96" s="9"/>
      <c r="I96" s="9"/>
    </row>
    <row r="97" spans="1:9" ht="12.75">
      <c r="A97" s="8"/>
      <c r="B97" s="8" t="s">
        <v>350</v>
      </c>
      <c r="C97" s="2" t="s">
        <v>348</v>
      </c>
      <c r="D97" s="8"/>
      <c r="E97" s="9"/>
      <c r="F97" s="9"/>
      <c r="G97" s="9"/>
      <c r="I97" s="9"/>
    </row>
    <row r="98" spans="1:9" ht="12.75">
      <c r="A98" s="8"/>
      <c r="B98" s="8"/>
      <c r="D98" s="8"/>
      <c r="E98" s="9"/>
      <c r="F98" s="9"/>
      <c r="G98" s="9"/>
      <c r="I98" s="9"/>
    </row>
    <row r="99" spans="1:9" ht="12.75">
      <c r="A99" s="8" t="s">
        <v>17</v>
      </c>
      <c r="B99" s="8" t="s">
        <v>471</v>
      </c>
      <c r="C99" t="s">
        <v>532</v>
      </c>
      <c r="D99" s="8"/>
      <c r="E99" s="9"/>
      <c r="F99" s="9"/>
      <c r="G99" s="9"/>
      <c r="I99" s="9"/>
    </row>
    <row r="100" spans="1:9" ht="12.75">
      <c r="A100" s="8"/>
      <c r="B100" s="8"/>
      <c r="C100" t="s">
        <v>473</v>
      </c>
      <c r="D100" s="8" t="s">
        <v>78</v>
      </c>
      <c r="E100" s="9">
        <v>22</v>
      </c>
      <c r="F100" s="9">
        <v>0</v>
      </c>
      <c r="G100" s="9">
        <f>E100*F100</f>
        <v>0</v>
      </c>
      <c r="I100" s="9"/>
    </row>
    <row r="101" spans="1:9" ht="12.75">
      <c r="A101" s="8"/>
      <c r="B101" s="8" t="s">
        <v>105</v>
      </c>
      <c r="D101" s="8"/>
      <c r="E101" s="9"/>
      <c r="F101" s="9"/>
      <c r="G101" s="9"/>
      <c r="I101" s="9"/>
    </row>
    <row r="102" spans="1:9" ht="12.75">
      <c r="A102" s="8" t="s">
        <v>19</v>
      </c>
      <c r="B102" s="16">
        <v>286131130</v>
      </c>
      <c r="C102" t="s">
        <v>533</v>
      </c>
      <c r="D102" s="8"/>
      <c r="E102" s="9"/>
      <c r="F102" s="9"/>
      <c r="G102" s="9"/>
      <c r="I102" s="9"/>
    </row>
    <row r="103" spans="1:9" ht="12.75">
      <c r="A103" s="8"/>
      <c r="B103" s="16"/>
      <c r="C103">
        <v>22</v>
      </c>
      <c r="D103" s="8" t="s">
        <v>78</v>
      </c>
      <c r="E103" s="9">
        <v>22</v>
      </c>
      <c r="F103" s="9">
        <v>0</v>
      </c>
      <c r="G103" s="9">
        <f>E103*F103</f>
        <v>0</v>
      </c>
      <c r="H103">
        <v>0.0011</v>
      </c>
      <c r="I103" s="9">
        <f>E103*H103</f>
        <v>0.024200000000000003</v>
      </c>
    </row>
    <row r="104" spans="1:9" ht="12.75">
      <c r="A104" s="8"/>
      <c r="B104" s="16"/>
      <c r="D104" s="8"/>
      <c r="E104" s="9"/>
      <c r="F104" s="9"/>
      <c r="G104" s="9"/>
      <c r="I104" s="9"/>
    </row>
    <row r="105" spans="1:9" ht="12.75">
      <c r="A105" s="8" t="s">
        <v>23</v>
      </c>
      <c r="B105" s="8" t="s">
        <v>478</v>
      </c>
      <c r="C105" t="s">
        <v>534</v>
      </c>
      <c r="D105" s="8" t="s">
        <v>259</v>
      </c>
      <c r="E105" s="9">
        <v>2</v>
      </c>
      <c r="F105" s="9">
        <v>0</v>
      </c>
      <c r="G105" s="9">
        <f>E105*F105</f>
        <v>0</v>
      </c>
      <c r="I105" s="9"/>
    </row>
    <row r="106" spans="1:9" ht="12.75">
      <c r="A106" s="8"/>
      <c r="B106" s="8"/>
      <c r="D106" s="8"/>
      <c r="E106" s="9"/>
      <c r="F106" s="9"/>
      <c r="G106" s="9"/>
      <c r="I106" s="9"/>
    </row>
    <row r="107" spans="1:9" ht="12.75">
      <c r="A107" s="15">
        <v>5</v>
      </c>
      <c r="B107" s="16">
        <v>552911210</v>
      </c>
      <c r="C107" t="s">
        <v>535</v>
      </c>
      <c r="D107" s="8"/>
      <c r="E107" s="9"/>
      <c r="F107" s="9"/>
      <c r="G107" s="9"/>
      <c r="I107" s="9"/>
    </row>
    <row r="108" spans="1:9" ht="12.75">
      <c r="A108" s="8"/>
      <c r="B108" s="8"/>
      <c r="D108" s="8" t="s">
        <v>259</v>
      </c>
      <c r="E108" s="9">
        <v>8</v>
      </c>
      <c r="F108" s="9">
        <v>0</v>
      </c>
      <c r="G108" s="9">
        <f>E108*F108</f>
        <v>0</v>
      </c>
      <c r="H108">
        <v>0.0001</v>
      </c>
      <c r="I108" s="9">
        <f>E108*H108</f>
        <v>0.0008</v>
      </c>
    </row>
    <row r="109" spans="1:9" ht="12.75">
      <c r="A109" s="8"/>
      <c r="B109" s="8"/>
      <c r="D109" s="8"/>
      <c r="E109" s="9"/>
      <c r="F109" s="9">
        <v>0</v>
      </c>
      <c r="G109" s="9"/>
      <c r="I109" s="9"/>
    </row>
    <row r="110" spans="1:9" ht="12.75">
      <c r="A110" s="145">
        <v>6</v>
      </c>
      <c r="B110" s="16">
        <v>562305180</v>
      </c>
      <c r="C110" t="s">
        <v>536</v>
      </c>
      <c r="D110" s="8" t="s">
        <v>259</v>
      </c>
      <c r="E110" s="9">
        <v>1</v>
      </c>
      <c r="F110" s="9">
        <v>0</v>
      </c>
      <c r="G110" s="9">
        <f>E110*F110</f>
        <v>0</v>
      </c>
      <c r="H110">
        <v>0.085</v>
      </c>
      <c r="I110" s="9">
        <f>E110*H110</f>
        <v>0.085</v>
      </c>
    </row>
    <row r="111" spans="1:9" ht="12.75">
      <c r="A111" s="8"/>
      <c r="B111" s="8"/>
      <c r="D111" s="8"/>
      <c r="E111" s="9"/>
      <c r="F111" s="9"/>
      <c r="G111" s="9"/>
      <c r="I111" s="9"/>
    </row>
    <row r="112" spans="1:9" ht="12.75">
      <c r="A112" s="8" t="s">
        <v>134</v>
      </c>
      <c r="B112" s="8" t="s">
        <v>431</v>
      </c>
      <c r="C112" t="s">
        <v>432</v>
      </c>
      <c r="D112" s="8" t="s">
        <v>259</v>
      </c>
      <c r="E112" s="9">
        <v>1</v>
      </c>
      <c r="F112" s="9">
        <v>0</v>
      </c>
      <c r="G112" s="9">
        <f>E112*F112</f>
        <v>0</v>
      </c>
      <c r="H112">
        <v>0.00702</v>
      </c>
      <c r="I112" s="9">
        <f>E112*H112</f>
        <v>0.00702</v>
      </c>
    </row>
    <row r="113" spans="1:9" ht="12.75">
      <c r="A113" s="8"/>
      <c r="B113" s="8"/>
      <c r="D113" s="8"/>
      <c r="E113" s="9"/>
      <c r="F113" s="9">
        <v>0</v>
      </c>
      <c r="G113" s="9"/>
      <c r="I113" s="9"/>
    </row>
    <row r="114" spans="1:9" ht="12.75">
      <c r="A114" s="8" t="s">
        <v>137</v>
      </c>
      <c r="B114" s="8"/>
      <c r="C114" t="s">
        <v>502</v>
      </c>
      <c r="D114" s="8" t="s">
        <v>259</v>
      </c>
      <c r="E114" s="9">
        <v>1</v>
      </c>
      <c r="F114" s="9">
        <v>0</v>
      </c>
      <c r="G114" s="20">
        <f>E114*F114</f>
        <v>0</v>
      </c>
      <c r="H114">
        <v>0.096</v>
      </c>
      <c r="I114" s="9">
        <f>E114*H114</f>
        <v>0.096</v>
      </c>
    </row>
    <row r="115" spans="1:9" ht="12.75">
      <c r="A115" s="8"/>
      <c r="B115" s="8"/>
      <c r="D115" s="8"/>
      <c r="E115" s="9"/>
      <c r="F115" s="9"/>
      <c r="G115" s="9"/>
      <c r="I115" s="9"/>
    </row>
    <row r="116" spans="1:9" ht="12.75">
      <c r="A116" s="8"/>
      <c r="B116" s="8"/>
      <c r="D116" s="8"/>
      <c r="E116" s="9"/>
      <c r="F116" s="9"/>
      <c r="G116" s="9"/>
      <c r="I116" s="9"/>
    </row>
    <row r="117" spans="1:9" ht="12.75">
      <c r="A117" s="8" t="s">
        <v>152</v>
      </c>
      <c r="B117" s="8" t="s">
        <v>504</v>
      </c>
      <c r="C117" t="s">
        <v>537</v>
      </c>
      <c r="D117" s="8" t="s">
        <v>78</v>
      </c>
      <c r="E117" s="9">
        <v>33</v>
      </c>
      <c r="F117" s="9">
        <v>0</v>
      </c>
      <c r="G117" s="9">
        <f>E117*F117</f>
        <v>0</v>
      </c>
      <c r="I117" s="9"/>
    </row>
    <row r="118" spans="1:9" ht="12.75">
      <c r="A118" s="8"/>
      <c r="B118" s="8"/>
      <c r="D118" s="8"/>
      <c r="E118" s="9"/>
      <c r="F118" s="9"/>
      <c r="G118" s="9"/>
      <c r="I118" s="9"/>
    </row>
    <row r="119" spans="1:9" ht="12.75">
      <c r="A119" s="8" t="s">
        <v>157</v>
      </c>
      <c r="B119" s="8" t="s">
        <v>408</v>
      </c>
      <c r="C119" t="s">
        <v>409</v>
      </c>
      <c r="D119" s="8"/>
      <c r="E119" s="9"/>
      <c r="F119" s="9"/>
      <c r="G119" s="9"/>
      <c r="I119" s="9"/>
    </row>
    <row r="120" spans="1:9" ht="12.75">
      <c r="A120" s="8"/>
      <c r="B120" s="8"/>
      <c r="C120" t="s">
        <v>538</v>
      </c>
      <c r="D120" s="8" t="s">
        <v>259</v>
      </c>
      <c r="E120" s="9">
        <v>4</v>
      </c>
      <c r="F120" s="9">
        <v>0</v>
      </c>
      <c r="G120" s="9">
        <f>E120*F120</f>
        <v>0</v>
      </c>
      <c r="H120">
        <v>0.46005</v>
      </c>
      <c r="I120" s="9">
        <f>E120*H120</f>
        <v>1.8402</v>
      </c>
    </row>
    <row r="121" spans="1:9" ht="12.75">
      <c r="A121" s="8"/>
      <c r="B121" s="8"/>
      <c r="D121" s="8"/>
      <c r="E121" s="9"/>
      <c r="F121" s="9"/>
      <c r="G121" s="9"/>
      <c r="I121" s="9"/>
    </row>
    <row r="122" spans="1:9" ht="12.75">
      <c r="A122" s="8" t="s">
        <v>161</v>
      </c>
      <c r="B122" s="8" t="s">
        <v>507</v>
      </c>
      <c r="C122" t="s">
        <v>539</v>
      </c>
      <c r="D122" s="8" t="s">
        <v>78</v>
      </c>
      <c r="E122" s="9">
        <v>22</v>
      </c>
      <c r="F122" s="9">
        <v>0</v>
      </c>
      <c r="G122" s="9">
        <f>E122*F122</f>
        <v>0</v>
      </c>
      <c r="I122" s="9"/>
    </row>
    <row r="123" spans="1:9" ht="12.75">
      <c r="A123" s="8"/>
      <c r="B123" s="8"/>
      <c r="D123" s="8"/>
      <c r="E123" s="9"/>
      <c r="F123" s="9"/>
      <c r="G123" s="9"/>
      <c r="I123" s="9"/>
    </row>
    <row r="124" spans="1:9" ht="12.75">
      <c r="A124" s="8" t="s">
        <v>170</v>
      </c>
      <c r="B124" s="8"/>
      <c r="C124" t="s">
        <v>510</v>
      </c>
      <c r="D124" s="8" t="s">
        <v>78</v>
      </c>
      <c r="E124" s="9">
        <v>25</v>
      </c>
      <c r="F124" s="9">
        <v>0</v>
      </c>
      <c r="G124" s="21">
        <f>E124*F124</f>
        <v>0</v>
      </c>
      <c r="I124" s="21"/>
    </row>
    <row r="125" spans="1:9" ht="12.75">
      <c r="A125" s="8"/>
      <c r="B125" s="8"/>
      <c r="C125" s="3" t="s">
        <v>8</v>
      </c>
      <c r="D125" s="8"/>
      <c r="E125" s="9"/>
      <c r="F125" s="9"/>
      <c r="G125" s="22">
        <f>SUM(G99:G124)</f>
        <v>0</v>
      </c>
      <c r="I125" s="9">
        <f>SUM(I103:I124)</f>
        <v>2.05322</v>
      </c>
    </row>
    <row r="126" spans="1:9" ht="12.75">
      <c r="A126" s="8"/>
      <c r="B126" s="8"/>
      <c r="C126" s="4"/>
      <c r="D126" s="8"/>
      <c r="E126" s="9"/>
      <c r="F126" s="9"/>
      <c r="G126" s="19"/>
      <c r="I126" s="9"/>
    </row>
    <row r="127" spans="1:9" ht="12.75">
      <c r="A127" s="8"/>
      <c r="B127" s="8" t="s">
        <v>262</v>
      </c>
      <c r="C127" s="2" t="s">
        <v>26</v>
      </c>
      <c r="D127" s="8"/>
      <c r="E127" s="9"/>
      <c r="F127" s="9"/>
      <c r="G127" s="9"/>
      <c r="I127" s="9"/>
    </row>
    <row r="128" spans="1:9" ht="12.75">
      <c r="A128" s="8"/>
      <c r="B128" s="8"/>
      <c r="C128" s="24"/>
      <c r="D128" s="8"/>
      <c r="E128" s="9"/>
      <c r="F128" s="9"/>
      <c r="G128" s="9"/>
      <c r="I128" s="9"/>
    </row>
    <row r="129" spans="1:9" ht="12.75">
      <c r="A129" s="8" t="s">
        <v>17</v>
      </c>
      <c r="B129" s="8" t="s">
        <v>511</v>
      </c>
      <c r="C129" t="s">
        <v>540</v>
      </c>
      <c r="D129" s="8"/>
      <c r="E129" s="9"/>
      <c r="F129" s="9"/>
      <c r="G129" s="20"/>
      <c r="I129" s="9"/>
    </row>
    <row r="130" spans="1:9" ht="12.75">
      <c r="A130" s="8"/>
      <c r="B130" s="8"/>
      <c r="C130">
        <v>20</v>
      </c>
      <c r="D130" s="8" t="s">
        <v>78</v>
      </c>
      <c r="E130" s="9">
        <v>20</v>
      </c>
      <c r="F130" s="9">
        <v>0</v>
      </c>
      <c r="G130" s="20">
        <f>E130*F130</f>
        <v>0</v>
      </c>
      <c r="I130" s="9"/>
    </row>
    <row r="131" spans="1:9" ht="12.75">
      <c r="A131" s="8"/>
      <c r="B131" s="8"/>
      <c r="D131" s="8"/>
      <c r="E131" s="9"/>
      <c r="F131" s="9"/>
      <c r="G131" s="20"/>
      <c r="I131" s="9"/>
    </row>
    <row r="132" spans="1:9" ht="12.75">
      <c r="A132" s="8" t="s">
        <v>19</v>
      </c>
      <c r="B132" s="8" t="s">
        <v>271</v>
      </c>
      <c r="C132" t="s">
        <v>541</v>
      </c>
      <c r="D132" s="8"/>
      <c r="E132" s="9"/>
      <c r="F132" s="9"/>
      <c r="G132" s="9"/>
      <c r="I132" s="9"/>
    </row>
    <row r="133" spans="1:9" ht="12.75">
      <c r="A133" s="8"/>
      <c r="B133" s="8"/>
      <c r="C133" t="s">
        <v>542</v>
      </c>
      <c r="D133" s="8" t="s">
        <v>36</v>
      </c>
      <c r="E133" s="9">
        <f>0.37*22</f>
        <v>8.14</v>
      </c>
      <c r="F133" s="9">
        <v>0</v>
      </c>
      <c r="G133" s="20">
        <f>E133*F133</f>
        <v>0</v>
      </c>
      <c r="I133" s="9"/>
    </row>
    <row r="134" spans="1:9" ht="12.75">
      <c r="A134" s="8"/>
      <c r="B134" s="8"/>
      <c r="D134" s="8"/>
      <c r="E134" s="9"/>
      <c r="F134" s="9"/>
      <c r="G134" s="20"/>
      <c r="I134" s="9"/>
    </row>
    <row r="135" spans="1:9" ht="12.75">
      <c r="A135" s="8" t="s">
        <v>21</v>
      </c>
      <c r="B135" s="8" t="s">
        <v>274</v>
      </c>
      <c r="C135" t="s">
        <v>275</v>
      </c>
      <c r="D135" s="8"/>
      <c r="E135" s="9"/>
      <c r="F135" s="9"/>
      <c r="G135" s="9"/>
      <c r="I135" s="9"/>
    </row>
    <row r="136" spans="1:9" ht="12.75">
      <c r="A136" s="8"/>
      <c r="B136" s="8"/>
      <c r="C136" t="s">
        <v>543</v>
      </c>
      <c r="D136" s="8" t="s">
        <v>36</v>
      </c>
      <c r="E136" s="9">
        <v>163.8</v>
      </c>
      <c r="F136" s="9">
        <v>0</v>
      </c>
      <c r="G136" s="21">
        <f>E136*F136</f>
        <v>0</v>
      </c>
      <c r="I136" s="9"/>
    </row>
    <row r="137" spans="1:9" ht="12.75">
      <c r="A137" s="8"/>
      <c r="B137" s="8"/>
      <c r="C137" s="3" t="s">
        <v>8</v>
      </c>
      <c r="D137" s="8"/>
      <c r="E137" s="9"/>
      <c r="F137" s="9"/>
      <c r="G137" s="22">
        <f>SUM(G129:G136)</f>
        <v>0</v>
      </c>
      <c r="I137" s="9"/>
    </row>
  </sheetData>
  <sheetProtection/>
  <autoFilter ref="A35:I137"/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showGridLines="0" showZeros="0" defaultGridColor="0" zoomScalePageLayoutView="0" colorId="8" workbookViewId="0" topLeftCell="A1">
      <selection activeCell="A1" sqref="A1"/>
    </sheetView>
  </sheetViews>
  <sheetFormatPr defaultColWidth="9.00390625" defaultRowHeight="12.75"/>
  <cols>
    <col min="1" max="1" width="2.75390625" style="146" customWidth="1"/>
    <col min="2" max="2" width="2.25390625" style="146" customWidth="1"/>
    <col min="3" max="3" width="3.375" style="146" customWidth="1"/>
    <col min="4" max="4" width="6.875" style="146" customWidth="1"/>
    <col min="5" max="5" width="12.875" style="146" customWidth="1"/>
    <col min="6" max="6" width="0.6171875" style="146" customWidth="1"/>
    <col min="7" max="7" width="2.875" style="146" customWidth="1"/>
    <col min="8" max="8" width="2.75390625" style="146" customWidth="1"/>
    <col min="9" max="9" width="10.75390625" style="146" customWidth="1"/>
    <col min="10" max="10" width="15.125" style="146" customWidth="1"/>
    <col min="11" max="11" width="0.74609375" style="146" customWidth="1"/>
    <col min="12" max="12" width="2.75390625" style="146" customWidth="1"/>
    <col min="13" max="13" width="2.875" style="146" customWidth="1"/>
    <col min="14" max="14" width="3.625" style="146" customWidth="1"/>
    <col min="15" max="15" width="13.25390625" style="146" customWidth="1"/>
    <col min="16" max="16" width="6.625" style="146" customWidth="1"/>
    <col min="17" max="17" width="12.875" style="146" customWidth="1"/>
    <col min="18" max="18" width="0.6171875" style="146" customWidth="1"/>
    <col min="19" max="16384" width="9.125" style="147" customWidth="1"/>
  </cols>
  <sheetData>
    <row r="1" spans="1:18" s="146" customFormat="1" ht="9.75" customHeight="1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50"/>
    </row>
    <row r="2" spans="1:18" s="146" customFormat="1" ht="27" customHeight="1">
      <c r="A2" s="151"/>
      <c r="B2" s="152"/>
      <c r="C2" s="152"/>
      <c r="D2" s="152"/>
      <c r="E2" s="152"/>
      <c r="F2" s="152"/>
      <c r="G2" s="153" t="s">
        <v>544</v>
      </c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4"/>
    </row>
    <row r="3" spans="1:18" s="146" customFormat="1" ht="9.75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s="146" customFormat="1" ht="9" customHeight="1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60"/>
    </row>
    <row r="5" spans="1:18" s="146" customFormat="1" ht="18.75" customHeight="1">
      <c r="A5" s="161"/>
      <c r="B5" s="162" t="s">
        <v>545</v>
      </c>
      <c r="C5" s="162"/>
      <c r="D5" s="162"/>
      <c r="E5" s="163" t="s">
        <v>546</v>
      </c>
      <c r="F5" s="159"/>
      <c r="G5" s="159"/>
      <c r="H5" s="159"/>
      <c r="I5" s="159"/>
      <c r="J5" s="160"/>
      <c r="K5" s="162"/>
      <c r="L5" s="162"/>
      <c r="M5" s="162"/>
      <c r="N5" s="162"/>
      <c r="O5" s="162" t="s">
        <v>547</v>
      </c>
      <c r="P5" s="164"/>
      <c r="Q5" s="160"/>
      <c r="R5" s="165"/>
    </row>
    <row r="6" spans="1:18" s="146" customFormat="1" ht="18.75" customHeight="1">
      <c r="A6" s="161"/>
      <c r="B6" s="162" t="s">
        <v>548</v>
      </c>
      <c r="C6" s="162"/>
      <c r="D6" s="162"/>
      <c r="E6" s="166" t="s">
        <v>549</v>
      </c>
      <c r="F6" s="167"/>
      <c r="G6" s="167"/>
      <c r="H6" s="167"/>
      <c r="I6" s="167"/>
      <c r="J6" s="165"/>
      <c r="K6" s="162"/>
      <c r="L6" s="162"/>
      <c r="M6" s="162"/>
      <c r="N6" s="162"/>
      <c r="O6" s="162" t="s">
        <v>550</v>
      </c>
      <c r="P6" s="168"/>
      <c r="Q6" s="165"/>
      <c r="R6" s="165"/>
    </row>
    <row r="7" spans="1:18" s="146" customFormat="1" ht="18.75" customHeight="1">
      <c r="A7" s="161"/>
      <c r="B7" s="162" t="s">
        <v>551</v>
      </c>
      <c r="C7" s="162"/>
      <c r="D7" s="162"/>
      <c r="E7" s="169" t="s">
        <v>552</v>
      </c>
      <c r="F7" s="170"/>
      <c r="G7" s="170"/>
      <c r="H7" s="170"/>
      <c r="I7" s="170"/>
      <c r="J7" s="171"/>
      <c r="K7" s="162"/>
      <c r="L7" s="162"/>
      <c r="M7" s="162"/>
      <c r="N7" s="162"/>
      <c r="O7" s="162" t="s">
        <v>553</v>
      </c>
      <c r="P7" s="172"/>
      <c r="Q7" s="171"/>
      <c r="R7" s="165"/>
    </row>
    <row r="8" spans="1:18" s="146" customFormat="1" ht="18.75" customHeight="1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 t="s">
        <v>554</v>
      </c>
      <c r="P8" s="162" t="s">
        <v>555</v>
      </c>
      <c r="Q8" s="162"/>
      <c r="R8" s="165"/>
    </row>
    <row r="9" spans="1:18" s="146" customFormat="1" ht="18.75" customHeight="1">
      <c r="A9" s="161"/>
      <c r="B9" s="162" t="s">
        <v>556</v>
      </c>
      <c r="C9" s="162"/>
      <c r="D9" s="162"/>
      <c r="E9" s="164" t="s">
        <v>557</v>
      </c>
      <c r="F9" s="159"/>
      <c r="G9" s="159"/>
      <c r="H9" s="159"/>
      <c r="I9" s="159"/>
      <c r="J9" s="160"/>
      <c r="K9" s="162"/>
      <c r="L9" s="162"/>
      <c r="M9" s="162"/>
      <c r="N9" s="162"/>
      <c r="O9" s="173"/>
      <c r="P9" s="173"/>
      <c r="Q9" s="174"/>
      <c r="R9" s="165"/>
    </row>
    <row r="10" spans="1:18" s="146" customFormat="1" ht="18.75" customHeight="1">
      <c r="A10" s="161"/>
      <c r="B10" s="162" t="s">
        <v>558</v>
      </c>
      <c r="C10" s="162"/>
      <c r="D10" s="162"/>
      <c r="E10" s="168" t="s">
        <v>559</v>
      </c>
      <c r="F10" s="167"/>
      <c r="G10" s="167"/>
      <c r="H10" s="167"/>
      <c r="I10" s="167"/>
      <c r="J10" s="165"/>
      <c r="K10" s="162"/>
      <c r="L10" s="162"/>
      <c r="M10" s="162"/>
      <c r="N10" s="162"/>
      <c r="O10" s="173"/>
      <c r="P10" s="173"/>
      <c r="Q10" s="174"/>
      <c r="R10" s="165"/>
    </row>
    <row r="11" spans="1:18" s="146" customFormat="1" ht="18.75" customHeight="1">
      <c r="A11" s="161"/>
      <c r="B11" s="162" t="s">
        <v>560</v>
      </c>
      <c r="C11" s="162"/>
      <c r="D11" s="162"/>
      <c r="E11" s="168"/>
      <c r="F11" s="167"/>
      <c r="G11" s="167"/>
      <c r="H11" s="167"/>
      <c r="I11" s="167"/>
      <c r="J11" s="165"/>
      <c r="K11" s="162"/>
      <c r="L11" s="162"/>
      <c r="M11" s="162"/>
      <c r="N11" s="162"/>
      <c r="O11" s="173"/>
      <c r="P11" s="173"/>
      <c r="Q11" s="174"/>
      <c r="R11" s="165"/>
    </row>
    <row r="12" spans="1:18" s="146" customFormat="1" ht="18.75" customHeight="1">
      <c r="A12" s="161"/>
      <c r="B12" s="162"/>
      <c r="C12" s="162"/>
      <c r="D12" s="162"/>
      <c r="E12" s="172"/>
      <c r="F12" s="170"/>
      <c r="G12" s="170"/>
      <c r="H12" s="170"/>
      <c r="I12" s="170"/>
      <c r="J12" s="171"/>
      <c r="K12" s="162"/>
      <c r="L12" s="162"/>
      <c r="M12" s="162"/>
      <c r="N12" s="162"/>
      <c r="O12" s="175"/>
      <c r="P12" s="175"/>
      <c r="Q12" s="162"/>
      <c r="R12" s="165"/>
    </row>
    <row r="13" spans="1:18" s="146" customFormat="1" ht="18.75" customHeight="1">
      <c r="A13" s="161"/>
      <c r="B13" s="162"/>
      <c r="C13" s="162"/>
      <c r="D13" s="162"/>
      <c r="E13" s="175" t="s">
        <v>561</v>
      </c>
      <c r="F13" s="162"/>
      <c r="G13" s="162" t="s">
        <v>562</v>
      </c>
      <c r="H13" s="162"/>
      <c r="I13" s="162"/>
      <c r="J13" s="162"/>
      <c r="K13" s="162"/>
      <c r="L13" s="162"/>
      <c r="M13" s="162"/>
      <c r="N13" s="162"/>
      <c r="O13" s="175" t="s">
        <v>563</v>
      </c>
      <c r="P13" s="175"/>
      <c r="Q13" s="176"/>
      <c r="R13" s="165"/>
    </row>
    <row r="14" spans="1:18" s="146" customFormat="1" ht="18.75" customHeight="1">
      <c r="A14" s="161"/>
      <c r="B14" s="162"/>
      <c r="C14" s="162"/>
      <c r="D14" s="162"/>
      <c r="E14" s="177" t="s">
        <v>564</v>
      </c>
      <c r="F14" s="162"/>
      <c r="G14" s="178"/>
      <c r="H14" s="179" t="s">
        <v>565</v>
      </c>
      <c r="I14" s="180"/>
      <c r="J14" s="162"/>
      <c r="K14" s="162"/>
      <c r="L14" s="162"/>
      <c r="M14" s="162"/>
      <c r="N14" s="162"/>
      <c r="O14" s="177" t="s">
        <v>566</v>
      </c>
      <c r="P14" s="175"/>
      <c r="Q14" s="181"/>
      <c r="R14" s="165"/>
    </row>
    <row r="15" spans="1:18" s="146" customFormat="1" ht="9" customHeight="1">
      <c r="A15" s="182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</row>
    <row r="16" spans="1:18" s="146" customFormat="1" ht="20.25" customHeight="1">
      <c r="A16" s="183"/>
      <c r="B16" s="179"/>
      <c r="C16" s="179"/>
      <c r="D16" s="179"/>
      <c r="E16" s="184" t="s">
        <v>567</v>
      </c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5"/>
    </row>
    <row r="17" spans="1:18" s="146" customFormat="1" ht="21.75" customHeight="1">
      <c r="A17" s="186" t="s">
        <v>568</v>
      </c>
      <c r="B17" s="187"/>
      <c r="C17" s="187"/>
      <c r="D17" s="188"/>
      <c r="E17" s="189" t="s">
        <v>569</v>
      </c>
      <c r="F17" s="188"/>
      <c r="G17" s="189" t="s">
        <v>570</v>
      </c>
      <c r="H17" s="187"/>
      <c r="I17" s="188"/>
      <c r="J17" s="189" t="s">
        <v>571</v>
      </c>
      <c r="K17" s="187"/>
      <c r="L17" s="189" t="s">
        <v>572</v>
      </c>
      <c r="M17" s="187"/>
      <c r="N17" s="187"/>
      <c r="O17" s="188"/>
      <c r="P17" s="189" t="s">
        <v>573</v>
      </c>
      <c r="Q17" s="187"/>
      <c r="R17" s="190"/>
    </row>
    <row r="18" spans="1:18" s="146" customFormat="1" ht="19.5" customHeight="1">
      <c r="A18" s="191"/>
      <c r="B18" s="192"/>
      <c r="C18" s="192"/>
      <c r="D18" s="193">
        <v>0</v>
      </c>
      <c r="E18" s="194">
        <v>0</v>
      </c>
      <c r="F18" s="195"/>
      <c r="G18" s="196"/>
      <c r="H18" s="192"/>
      <c r="I18" s="193">
        <v>0</v>
      </c>
      <c r="J18" s="194">
        <v>0</v>
      </c>
      <c r="K18" s="197"/>
      <c r="L18" s="196"/>
      <c r="M18" s="192"/>
      <c r="N18" s="192"/>
      <c r="O18" s="193">
        <v>0</v>
      </c>
      <c r="P18" s="196"/>
      <c r="Q18" s="198">
        <v>0</v>
      </c>
      <c r="R18" s="199"/>
    </row>
    <row r="19" spans="1:18" s="146" customFormat="1" ht="20.25" customHeight="1">
      <c r="A19" s="183"/>
      <c r="B19" s="179"/>
      <c r="C19" s="179"/>
      <c r="D19" s="179"/>
      <c r="E19" s="184" t="s">
        <v>574</v>
      </c>
      <c r="F19" s="179"/>
      <c r="G19" s="179"/>
      <c r="H19" s="179"/>
      <c r="I19" s="179"/>
      <c r="J19" s="200" t="s">
        <v>41</v>
      </c>
      <c r="K19" s="179"/>
      <c r="L19" s="179"/>
      <c r="M19" s="179"/>
      <c r="N19" s="179"/>
      <c r="O19" s="179"/>
      <c r="P19" s="179"/>
      <c r="Q19" s="179"/>
      <c r="R19" s="185"/>
    </row>
    <row r="20" spans="1:18" s="146" customFormat="1" ht="19.5" customHeight="1">
      <c r="A20" s="201" t="s">
        <v>575</v>
      </c>
      <c r="B20" s="202"/>
      <c r="C20" s="203" t="s">
        <v>576</v>
      </c>
      <c r="D20" s="204"/>
      <c r="E20" s="204"/>
      <c r="F20" s="205"/>
      <c r="G20" s="201" t="s">
        <v>577</v>
      </c>
      <c r="H20" s="206"/>
      <c r="I20" s="203" t="s">
        <v>578</v>
      </c>
      <c r="J20" s="204"/>
      <c r="K20" s="204"/>
      <c r="L20" s="201" t="s">
        <v>579</v>
      </c>
      <c r="M20" s="206"/>
      <c r="N20" s="203" t="s">
        <v>39</v>
      </c>
      <c r="O20" s="204"/>
      <c r="P20" s="204"/>
      <c r="Q20" s="204"/>
      <c r="R20" s="205"/>
    </row>
    <row r="21" spans="1:18" s="146" customFormat="1" ht="19.5" customHeight="1">
      <c r="A21" s="207" t="s">
        <v>580</v>
      </c>
      <c r="B21" s="208" t="s">
        <v>581</v>
      </c>
      <c r="C21" s="209"/>
      <c r="D21" s="210" t="s">
        <v>582</v>
      </c>
      <c r="E21" s="211"/>
      <c r="F21" s="212"/>
      <c r="G21" s="207" t="s">
        <v>583</v>
      </c>
      <c r="H21" s="213" t="s">
        <v>584</v>
      </c>
      <c r="I21" s="214"/>
      <c r="J21" s="215">
        <v>0</v>
      </c>
      <c r="K21" s="216"/>
      <c r="L21" s="207" t="s">
        <v>585</v>
      </c>
      <c r="M21" s="217" t="s">
        <v>40</v>
      </c>
      <c r="N21" s="218"/>
      <c r="O21" s="218"/>
      <c r="P21" s="219">
        <v>0.084</v>
      </c>
      <c r="Q21" s="211">
        <f>E26*8.4%</f>
        <v>0</v>
      </c>
      <c r="R21" s="212"/>
    </row>
    <row r="22" spans="1:18" s="146" customFormat="1" ht="19.5" customHeight="1">
      <c r="A22" s="207" t="s">
        <v>586</v>
      </c>
      <c r="B22" s="220"/>
      <c r="C22" s="221"/>
      <c r="D22" s="210" t="s">
        <v>587</v>
      </c>
      <c r="E22" s="211"/>
      <c r="F22" s="212"/>
      <c r="G22" s="207" t="s">
        <v>588</v>
      </c>
      <c r="H22" s="162" t="s">
        <v>589</v>
      </c>
      <c r="I22" s="214"/>
      <c r="J22" s="215">
        <v>0</v>
      </c>
      <c r="K22" s="216"/>
      <c r="L22" s="207" t="s">
        <v>590</v>
      </c>
      <c r="M22" s="217" t="s">
        <v>591</v>
      </c>
      <c r="N22" s="218"/>
      <c r="O22" s="218"/>
      <c r="P22" s="219">
        <v>0</v>
      </c>
      <c r="Q22" s="211">
        <v>0</v>
      </c>
      <c r="R22" s="212"/>
    </row>
    <row r="23" spans="1:18" s="146" customFormat="1" ht="19.5" customHeight="1">
      <c r="A23" s="207" t="s">
        <v>592</v>
      </c>
      <c r="B23" s="208" t="s">
        <v>593</v>
      </c>
      <c r="C23" s="209"/>
      <c r="D23" s="210" t="s">
        <v>582</v>
      </c>
      <c r="E23" s="211">
        <v>0</v>
      </c>
      <c r="F23" s="212"/>
      <c r="G23" s="207" t="s">
        <v>594</v>
      </c>
      <c r="H23" s="213" t="s">
        <v>595</v>
      </c>
      <c r="I23" s="214"/>
      <c r="J23" s="215">
        <v>0</v>
      </c>
      <c r="K23" s="216"/>
      <c r="L23" s="207" t="s">
        <v>596</v>
      </c>
      <c r="M23" s="217" t="s">
        <v>597</v>
      </c>
      <c r="N23" s="218"/>
      <c r="O23" s="218"/>
      <c r="P23" s="219">
        <v>0</v>
      </c>
      <c r="Q23" s="211">
        <v>0</v>
      </c>
      <c r="R23" s="212"/>
    </row>
    <row r="24" spans="1:18" s="146" customFormat="1" ht="19.5" customHeight="1">
      <c r="A24" s="207" t="s">
        <v>598</v>
      </c>
      <c r="B24" s="220"/>
      <c r="C24" s="221"/>
      <c r="D24" s="210" t="s">
        <v>587</v>
      </c>
      <c r="E24" s="211">
        <v>0</v>
      </c>
      <c r="F24" s="212"/>
      <c r="G24" s="207" t="s">
        <v>599</v>
      </c>
      <c r="H24" s="213"/>
      <c r="I24" s="214"/>
      <c r="J24" s="215">
        <v>0</v>
      </c>
      <c r="K24" s="216"/>
      <c r="L24" s="207" t="s">
        <v>600</v>
      </c>
      <c r="M24" s="217" t="s">
        <v>601</v>
      </c>
      <c r="N24" s="218"/>
      <c r="O24" s="218"/>
      <c r="P24" s="219">
        <v>0.02</v>
      </c>
      <c r="Q24" s="211">
        <f>E26*2%</f>
        <v>0</v>
      </c>
      <c r="R24" s="212"/>
    </row>
    <row r="25" spans="1:18" s="146" customFormat="1" ht="19.5" customHeight="1">
      <c r="A25" s="207" t="s">
        <v>602</v>
      </c>
      <c r="B25" s="208" t="s">
        <v>603</v>
      </c>
      <c r="C25" s="209"/>
      <c r="D25" s="210" t="s">
        <v>582</v>
      </c>
      <c r="E25" s="211">
        <f>'PS 01_Rekapitulace'!C14</f>
        <v>0</v>
      </c>
      <c r="F25" s="212"/>
      <c r="G25" s="222"/>
      <c r="H25" s="218"/>
      <c r="I25" s="214"/>
      <c r="J25" s="215"/>
      <c r="K25" s="216"/>
      <c r="L25" s="207" t="s">
        <v>604</v>
      </c>
      <c r="M25" s="217" t="s">
        <v>605</v>
      </c>
      <c r="N25" s="218"/>
      <c r="O25" s="218"/>
      <c r="P25" s="219">
        <v>0</v>
      </c>
      <c r="Q25" s="211">
        <v>0</v>
      </c>
      <c r="R25" s="212"/>
    </row>
    <row r="26" spans="1:18" s="146" customFormat="1" ht="19.5" customHeight="1">
      <c r="A26" s="207" t="s">
        <v>606</v>
      </c>
      <c r="B26" s="220"/>
      <c r="C26" s="221"/>
      <c r="D26" s="210" t="s">
        <v>587</v>
      </c>
      <c r="E26" s="211">
        <f>'PS 01_Rekapitulace'!D14</f>
        <v>0</v>
      </c>
      <c r="F26" s="212"/>
      <c r="G26" s="222"/>
      <c r="H26" s="218"/>
      <c r="I26" s="214"/>
      <c r="J26" s="215"/>
      <c r="K26" s="216"/>
      <c r="L26" s="207" t="s">
        <v>607</v>
      </c>
      <c r="M26" s="213" t="s">
        <v>608</v>
      </c>
      <c r="N26" s="218"/>
      <c r="O26" s="218"/>
      <c r="P26" s="214"/>
      <c r="Q26" s="211">
        <v>0</v>
      </c>
      <c r="R26" s="212"/>
    </row>
    <row r="27" spans="1:18" s="146" customFormat="1" ht="19.5" customHeight="1">
      <c r="A27" s="207" t="s">
        <v>609</v>
      </c>
      <c r="B27" s="322" t="s">
        <v>610</v>
      </c>
      <c r="C27" s="322"/>
      <c r="D27" s="322"/>
      <c r="E27" s="223">
        <f>SUM(E21:E26)</f>
        <v>0</v>
      </c>
      <c r="F27" s="185"/>
      <c r="G27" s="207" t="s">
        <v>611</v>
      </c>
      <c r="H27" s="224" t="s">
        <v>612</v>
      </c>
      <c r="I27" s="214"/>
      <c r="J27" s="225"/>
      <c r="K27" s="226"/>
      <c r="L27" s="207" t="s">
        <v>613</v>
      </c>
      <c r="M27" s="224" t="s">
        <v>614</v>
      </c>
      <c r="N27" s="218"/>
      <c r="O27" s="218"/>
      <c r="P27" s="214"/>
      <c r="Q27" s="227">
        <f>SUM(Q21:Q26)</f>
        <v>0</v>
      </c>
      <c r="R27" s="185"/>
    </row>
    <row r="28" spans="1:18" s="146" customFormat="1" ht="19.5" customHeight="1">
      <c r="A28" s="228" t="s">
        <v>615</v>
      </c>
      <c r="B28" s="229" t="s">
        <v>616</v>
      </c>
      <c r="C28" s="230"/>
      <c r="D28" s="231"/>
      <c r="E28" s="232">
        <v>0</v>
      </c>
      <c r="F28" s="171"/>
      <c r="G28" s="228" t="s">
        <v>617</v>
      </c>
      <c r="H28" s="229" t="s">
        <v>618</v>
      </c>
      <c r="I28" s="231"/>
      <c r="J28" s="233">
        <f>(E27+E28)*3.5%</f>
        <v>0</v>
      </c>
      <c r="K28" s="234"/>
      <c r="L28" s="228" t="s">
        <v>619</v>
      </c>
      <c r="M28" s="229" t="s">
        <v>620</v>
      </c>
      <c r="N28" s="230"/>
      <c r="O28" s="230"/>
      <c r="P28" s="231"/>
      <c r="Q28" s="235">
        <v>0</v>
      </c>
      <c r="R28" s="171"/>
    </row>
    <row r="29" spans="1:18" s="146" customFormat="1" ht="19.5" customHeight="1">
      <c r="A29" s="236" t="s">
        <v>558</v>
      </c>
      <c r="B29" s="159"/>
      <c r="C29" s="159"/>
      <c r="D29" s="159"/>
      <c r="E29" s="159"/>
      <c r="F29" s="237"/>
      <c r="G29" s="238"/>
      <c r="H29" s="159"/>
      <c r="I29" s="159"/>
      <c r="J29" s="159"/>
      <c r="K29" s="159"/>
      <c r="L29" s="201" t="s">
        <v>621</v>
      </c>
      <c r="M29" s="188"/>
      <c r="N29" s="203" t="s">
        <v>622</v>
      </c>
      <c r="O29" s="187"/>
      <c r="P29" s="187"/>
      <c r="Q29" s="239"/>
      <c r="R29" s="160"/>
    </row>
    <row r="30" spans="1:18" s="146" customFormat="1" ht="19.5" customHeight="1">
      <c r="A30" s="161"/>
      <c r="B30" s="162"/>
      <c r="C30" s="162"/>
      <c r="D30" s="162"/>
      <c r="E30" s="162"/>
      <c r="F30" s="240"/>
      <c r="G30" s="241"/>
      <c r="H30" s="162"/>
      <c r="I30" s="162"/>
      <c r="J30" s="162"/>
      <c r="K30" s="162"/>
      <c r="L30" s="207" t="s">
        <v>623</v>
      </c>
      <c r="M30" s="213" t="s">
        <v>624</v>
      </c>
      <c r="N30" s="218"/>
      <c r="O30" s="218"/>
      <c r="P30" s="218"/>
      <c r="Q30" s="242">
        <f>E27+E28+J28+Q27</f>
        <v>0</v>
      </c>
      <c r="R30" s="243"/>
    </row>
    <row r="31" spans="1:18" s="146" customFormat="1" ht="19.5" customHeight="1">
      <c r="A31" s="244" t="s">
        <v>625</v>
      </c>
      <c r="B31" s="245"/>
      <c r="C31" s="245"/>
      <c r="D31" s="245"/>
      <c r="E31" s="245"/>
      <c r="F31" s="221"/>
      <c r="G31" s="246" t="s">
        <v>626</v>
      </c>
      <c r="H31" s="245"/>
      <c r="I31" s="245"/>
      <c r="J31" s="245"/>
      <c r="K31" s="245"/>
      <c r="L31" s="207" t="s">
        <v>627</v>
      </c>
      <c r="M31" s="247">
        <v>15</v>
      </c>
      <c r="N31" s="214" t="s">
        <v>290</v>
      </c>
      <c r="O31" s="248">
        <v>0</v>
      </c>
      <c r="P31" s="214" t="s">
        <v>9</v>
      </c>
      <c r="Q31" s="249">
        <v>0</v>
      </c>
      <c r="R31" s="250"/>
    </row>
    <row r="32" spans="1:18" s="146" customFormat="1" ht="20.25" customHeight="1">
      <c r="A32" s="251" t="s">
        <v>556</v>
      </c>
      <c r="B32" s="252"/>
      <c r="C32" s="252"/>
      <c r="D32" s="252"/>
      <c r="E32" s="252"/>
      <c r="F32" s="209"/>
      <c r="G32" s="253"/>
      <c r="H32" s="252"/>
      <c r="I32" s="252"/>
      <c r="J32" s="252"/>
      <c r="K32" s="252"/>
      <c r="L32" s="207" t="s">
        <v>628</v>
      </c>
      <c r="M32" s="247">
        <v>21</v>
      </c>
      <c r="N32" s="214" t="s">
        <v>290</v>
      </c>
      <c r="O32" s="248">
        <f>Q30</f>
        <v>0</v>
      </c>
      <c r="P32" s="214" t="s">
        <v>9</v>
      </c>
      <c r="Q32" s="254">
        <f>O32*21%</f>
        <v>0</v>
      </c>
      <c r="R32" s="212"/>
    </row>
    <row r="33" spans="1:18" s="146" customFormat="1" ht="20.25" customHeight="1">
      <c r="A33" s="161"/>
      <c r="B33" s="162"/>
      <c r="C33" s="162"/>
      <c r="D33" s="162"/>
      <c r="E33" s="162"/>
      <c r="F33" s="240"/>
      <c r="G33" s="241"/>
      <c r="H33" s="162"/>
      <c r="I33" s="162"/>
      <c r="J33" s="162"/>
      <c r="K33" s="162"/>
      <c r="L33" s="228" t="s">
        <v>629</v>
      </c>
      <c r="M33" s="255" t="s">
        <v>630</v>
      </c>
      <c r="N33" s="230"/>
      <c r="O33" s="230"/>
      <c r="P33" s="231"/>
      <c r="Q33" s="242">
        <f>SUM(Q30:Q32)</f>
        <v>0</v>
      </c>
      <c r="R33" s="243"/>
    </row>
    <row r="34" spans="1:18" s="146" customFormat="1" ht="19.5" customHeight="1">
      <c r="A34" s="244" t="s">
        <v>625</v>
      </c>
      <c r="B34" s="245"/>
      <c r="C34" s="245"/>
      <c r="D34" s="245"/>
      <c r="E34" s="245"/>
      <c r="F34" s="221"/>
      <c r="G34" s="246" t="s">
        <v>626</v>
      </c>
      <c r="H34" s="245"/>
      <c r="I34" s="245"/>
      <c r="J34" s="245"/>
      <c r="K34" s="245"/>
      <c r="L34" s="201" t="s">
        <v>631</v>
      </c>
      <c r="M34" s="188"/>
      <c r="N34" s="203" t="s">
        <v>632</v>
      </c>
      <c r="O34" s="187"/>
      <c r="P34" s="187"/>
      <c r="Q34" s="256"/>
      <c r="R34" s="190"/>
    </row>
    <row r="35" spans="1:18" s="146" customFormat="1" ht="20.25" customHeight="1">
      <c r="A35" s="251" t="s">
        <v>560</v>
      </c>
      <c r="B35" s="252"/>
      <c r="C35" s="252"/>
      <c r="D35" s="252"/>
      <c r="E35" s="252"/>
      <c r="F35" s="209"/>
      <c r="G35" s="253"/>
      <c r="H35" s="252"/>
      <c r="I35" s="252"/>
      <c r="J35" s="252"/>
      <c r="K35" s="252"/>
      <c r="L35" s="207" t="s">
        <v>633</v>
      </c>
      <c r="M35" s="213" t="s">
        <v>634</v>
      </c>
      <c r="N35" s="218"/>
      <c r="O35" s="218"/>
      <c r="P35" s="214"/>
      <c r="Q35" s="211">
        <v>0</v>
      </c>
      <c r="R35" s="212"/>
    </row>
    <row r="36" spans="1:18" s="146" customFormat="1" ht="19.5" customHeight="1">
      <c r="A36" s="161"/>
      <c r="B36" s="162"/>
      <c r="C36" s="162"/>
      <c r="D36" s="162"/>
      <c r="E36" s="162"/>
      <c r="F36" s="240"/>
      <c r="G36" s="241"/>
      <c r="H36" s="162"/>
      <c r="I36" s="162"/>
      <c r="J36" s="162"/>
      <c r="K36" s="162"/>
      <c r="L36" s="207" t="s">
        <v>635</v>
      </c>
      <c r="M36" s="213" t="s">
        <v>636</v>
      </c>
      <c r="N36" s="218"/>
      <c r="O36" s="218"/>
      <c r="P36" s="214"/>
      <c r="Q36" s="211">
        <v>0</v>
      </c>
      <c r="R36" s="212"/>
    </row>
    <row r="37" spans="1:18" s="146" customFormat="1" ht="19.5" customHeight="1">
      <c r="A37" s="257" t="s">
        <v>625</v>
      </c>
      <c r="B37" s="170"/>
      <c r="C37" s="170"/>
      <c r="D37" s="170"/>
      <c r="E37" s="170"/>
      <c r="F37" s="258"/>
      <c r="G37" s="259" t="s">
        <v>626</v>
      </c>
      <c r="H37" s="170"/>
      <c r="I37" s="170"/>
      <c r="J37" s="170"/>
      <c r="K37" s="170"/>
      <c r="L37" s="228" t="s">
        <v>637</v>
      </c>
      <c r="M37" s="229" t="s">
        <v>638</v>
      </c>
      <c r="N37" s="230"/>
      <c r="O37" s="230"/>
      <c r="P37" s="231"/>
      <c r="Q37" s="194">
        <v>0</v>
      </c>
      <c r="R37" s="260"/>
    </row>
  </sheetData>
  <sheetProtection/>
  <mergeCells count="1">
    <mergeCell ref="B27:D27"/>
  </mergeCells>
  <printOptions horizontalCentered="1"/>
  <pageMargins left="0.31496062992125984" right="0.31496062992125984" top="1.062992125984252" bottom="1.062992125984252" header="0.5118110236220472" footer="0.5118110236220472"/>
  <pageSetup horizontalDpi="300" verticalDpi="300" orientation="portrait" paperSize="9" scale="96" r:id="rId1"/>
  <headerFooter alignWithMargins="0"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defaultGridColor="0" zoomScalePageLayoutView="0" colorId="8" workbookViewId="0" topLeftCell="A1">
      <selection activeCell="A1" sqref="A1"/>
    </sheetView>
  </sheetViews>
  <sheetFormatPr defaultColWidth="9.00390625" defaultRowHeight="12.75"/>
  <cols>
    <col min="1" max="1" width="5.75390625" style="261" customWidth="1"/>
    <col min="2" max="2" width="31.375" style="261" customWidth="1"/>
    <col min="3" max="5" width="16.875" style="261" customWidth="1"/>
    <col min="6" max="6" width="13.25390625" style="261" customWidth="1"/>
    <col min="7" max="16384" width="9.125" style="261" customWidth="1"/>
  </cols>
  <sheetData>
    <row r="1" spans="1:6" s="264" customFormat="1" ht="25.5" customHeight="1">
      <c r="A1" s="262" t="s">
        <v>639</v>
      </c>
      <c r="B1" s="263"/>
      <c r="C1" s="263"/>
      <c r="D1" s="263"/>
      <c r="E1" s="263"/>
      <c r="F1" s="263"/>
    </row>
    <row r="2" spans="1:6" s="264" customFormat="1" ht="12.75" customHeight="1">
      <c r="A2" s="262"/>
      <c r="B2" s="263"/>
      <c r="C2" s="263"/>
      <c r="D2" s="263"/>
      <c r="E2" s="263"/>
      <c r="F2" s="263"/>
    </row>
    <row r="3" spans="1:6" s="264" customFormat="1" ht="12.75" customHeight="1">
      <c r="A3" s="262"/>
      <c r="B3" s="263"/>
      <c r="C3" s="263"/>
      <c r="D3" s="263"/>
      <c r="E3" s="263"/>
      <c r="F3" s="263"/>
    </row>
    <row r="4" spans="1:6" s="267" customFormat="1" ht="12.75" customHeight="1">
      <c r="A4" s="265" t="s">
        <v>640</v>
      </c>
      <c r="B4" s="265"/>
      <c r="C4" s="266" t="s">
        <v>546</v>
      </c>
      <c r="D4" s="265"/>
      <c r="E4" s="265"/>
      <c r="F4" s="265"/>
    </row>
    <row r="5" spans="1:6" s="267" customFormat="1" ht="12.75" customHeight="1">
      <c r="A5" s="265" t="s">
        <v>641</v>
      </c>
      <c r="B5" s="265"/>
      <c r="C5" s="266" t="s">
        <v>549</v>
      </c>
      <c r="D5" s="265"/>
      <c r="E5" s="265"/>
      <c r="F5" s="265"/>
    </row>
    <row r="6" spans="1:6" s="267" customFormat="1" ht="12.75" customHeight="1">
      <c r="A6" s="265" t="s">
        <v>642</v>
      </c>
      <c r="B6" s="265"/>
      <c r="C6" s="266" t="s">
        <v>552</v>
      </c>
      <c r="D6" s="265"/>
      <c r="E6" s="265"/>
      <c r="F6" s="265"/>
    </row>
    <row r="7" spans="1:6" s="267" customFormat="1" ht="12.75" customHeight="1">
      <c r="A7" s="265"/>
      <c r="B7" s="265"/>
      <c r="C7" s="265"/>
      <c r="D7" s="265"/>
      <c r="E7" s="265" t="s">
        <v>643</v>
      </c>
      <c r="F7" s="265"/>
    </row>
    <row r="8" spans="1:6" s="264" customFormat="1" ht="9" customHeight="1">
      <c r="A8" s="263"/>
      <c r="B8" s="263"/>
      <c r="C8" s="263"/>
      <c r="D8" s="263"/>
      <c r="E8" s="263"/>
      <c r="F8" s="263"/>
    </row>
    <row r="9" spans="1:6" ht="18.75" customHeight="1">
      <c r="A9" s="268" t="s">
        <v>644</v>
      </c>
      <c r="B9" s="269" t="s">
        <v>645</v>
      </c>
      <c r="C9" s="269" t="s">
        <v>646</v>
      </c>
      <c r="D9" s="269" t="s">
        <v>587</v>
      </c>
      <c r="E9" s="269" t="s">
        <v>647</v>
      </c>
      <c r="F9" s="270" t="s">
        <v>648</v>
      </c>
    </row>
    <row r="10" spans="1:6" ht="8.25" customHeight="1">
      <c r="A10" s="271">
        <v>1</v>
      </c>
      <c r="B10" s="272">
        <v>2</v>
      </c>
      <c r="C10" s="272">
        <v>3</v>
      </c>
      <c r="D10" s="272">
        <v>4</v>
      </c>
      <c r="E10" s="272">
        <v>5</v>
      </c>
      <c r="F10" s="273">
        <v>6</v>
      </c>
    </row>
    <row r="11" spans="1:6" ht="8.25" customHeight="1">
      <c r="A11" s="274"/>
      <c r="B11" s="274"/>
      <c r="C11" s="274"/>
      <c r="D11" s="274"/>
      <c r="E11" s="274"/>
      <c r="F11" s="274"/>
    </row>
    <row r="12" spans="1:6" ht="12.75" customHeight="1">
      <c r="A12" s="275" t="s">
        <v>649</v>
      </c>
      <c r="B12" s="276" t="s">
        <v>650</v>
      </c>
      <c r="C12" s="277">
        <f>'PS 01_POL'!H11</f>
        <v>0</v>
      </c>
      <c r="D12" s="277">
        <f>'PS 01_POL'!I11</f>
        <v>0</v>
      </c>
      <c r="E12" s="277">
        <f>C12+D12</f>
        <v>0</v>
      </c>
      <c r="F12" s="278">
        <f>'PS 01_POL'!K11</f>
        <v>1.851</v>
      </c>
    </row>
    <row r="13" spans="1:6" ht="17.25" customHeight="1">
      <c r="A13" s="279"/>
      <c r="B13" s="280" t="s">
        <v>651</v>
      </c>
      <c r="C13" s="281">
        <f>SUM(C12:C12)</f>
        <v>0</v>
      </c>
      <c r="D13" s="281">
        <f>SUM(D12:D12)</f>
        <v>0</v>
      </c>
      <c r="E13" s="281">
        <f>SUM(E12:E12)</f>
        <v>0</v>
      </c>
      <c r="F13" s="282">
        <f>SUM(F12:F12)</f>
        <v>1.851</v>
      </c>
    </row>
    <row r="14" spans="1:6" ht="17.25" customHeight="1">
      <c r="A14" s="283"/>
      <c r="B14" s="284" t="s">
        <v>8</v>
      </c>
      <c r="C14" s="285">
        <f>C13</f>
        <v>0</v>
      </c>
      <c r="D14" s="285">
        <f>D13</f>
        <v>0</v>
      </c>
      <c r="E14" s="285">
        <f>E13</f>
        <v>0</v>
      </c>
      <c r="F14" s="286">
        <f>F13</f>
        <v>1.851</v>
      </c>
    </row>
  </sheetData>
  <sheetProtection/>
  <printOptions horizontalCentered="1"/>
  <pageMargins left="0.31496062992125984" right="0.2362204724409449" top="0.7874015748031497" bottom="0.7874015748031497" header="0.5118110236220472" footer="0.5118110236220472"/>
  <pageSetup horizontalDpi="300" verticalDpi="300" orientation="landscape" r:id="rId1"/>
  <headerFooter alignWithMargins="0"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zoomScalePageLayoutView="0" colorId="8" workbookViewId="0" topLeftCell="A1">
      <selection activeCell="A1" sqref="A1"/>
    </sheetView>
  </sheetViews>
  <sheetFormatPr defaultColWidth="9.00390625" defaultRowHeight="12.75"/>
  <cols>
    <col min="1" max="1" width="3.75390625" style="287" customWidth="1"/>
    <col min="2" max="2" width="4.625" style="288" customWidth="1"/>
    <col min="3" max="3" width="9.875" style="289" customWidth="1"/>
    <col min="4" max="4" width="51.125" style="289" customWidth="1"/>
    <col min="5" max="5" width="4.625" style="289" customWidth="1"/>
    <col min="6" max="6" width="9.75390625" style="290" customWidth="1"/>
    <col min="7" max="7" width="9.875" style="291" customWidth="1"/>
    <col min="8" max="8" width="11.125" style="291" customWidth="1"/>
    <col min="9" max="9" width="11.875" style="291" customWidth="1"/>
    <col min="10" max="10" width="12.125" style="291" customWidth="1"/>
    <col min="11" max="11" width="7.75390625" style="290" customWidth="1"/>
    <col min="12" max="16384" width="9.125" style="147" customWidth="1"/>
  </cols>
  <sheetData>
    <row r="1" spans="1:11" s="267" customFormat="1" ht="17.25" customHeight="1">
      <c r="A1" s="292" t="s">
        <v>652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267" customFormat="1" ht="12.75" customHeight="1">
      <c r="A2" s="265" t="s">
        <v>640</v>
      </c>
      <c r="B2" s="265"/>
      <c r="C2" s="266" t="s">
        <v>546</v>
      </c>
      <c r="D2" s="265"/>
      <c r="E2" s="265"/>
      <c r="F2" s="265"/>
      <c r="G2" s="265"/>
      <c r="H2" s="265"/>
      <c r="I2" s="265"/>
      <c r="J2" s="265"/>
      <c r="K2" s="265"/>
    </row>
    <row r="3" spans="1:11" s="267" customFormat="1" ht="12.75" customHeight="1">
      <c r="A3" s="265" t="s">
        <v>641</v>
      </c>
      <c r="B3" s="265"/>
      <c r="C3" s="266" t="s">
        <v>549</v>
      </c>
      <c r="D3" s="265"/>
      <c r="E3" s="265"/>
      <c r="F3" s="265"/>
      <c r="G3" s="265" t="s">
        <v>653</v>
      </c>
      <c r="H3" s="265" t="s">
        <v>557</v>
      </c>
      <c r="I3" s="265"/>
      <c r="J3" s="265"/>
      <c r="K3" s="265"/>
    </row>
    <row r="4" spans="1:11" s="267" customFormat="1" ht="12.75" customHeight="1">
      <c r="A4" s="265" t="s">
        <v>642</v>
      </c>
      <c r="B4" s="265"/>
      <c r="C4" s="266" t="s">
        <v>552</v>
      </c>
      <c r="D4" s="265"/>
      <c r="E4" s="265"/>
      <c r="F4" s="265"/>
      <c r="G4" s="265" t="s">
        <v>654</v>
      </c>
      <c r="H4" s="265"/>
      <c r="I4" s="265"/>
      <c r="J4" s="265"/>
      <c r="K4" s="265"/>
    </row>
    <row r="5" spans="1:11" s="267" customFormat="1" ht="12.75" customHeight="1">
      <c r="A5" s="265"/>
      <c r="B5" s="265"/>
      <c r="C5" s="265"/>
      <c r="D5" s="265"/>
      <c r="E5" s="265"/>
      <c r="F5" s="265"/>
      <c r="G5" s="265" t="s">
        <v>655</v>
      </c>
      <c r="H5" s="293" t="s">
        <v>566</v>
      </c>
      <c r="I5" s="265"/>
      <c r="J5" s="265"/>
      <c r="K5" s="265"/>
    </row>
    <row r="6" spans="1:11" s="267" customFormat="1" ht="9.7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</row>
    <row r="7" spans="1:11" s="146" customFormat="1" ht="29.25" customHeight="1">
      <c r="A7" s="294" t="s">
        <v>302</v>
      </c>
      <c r="B7" s="294" t="s">
        <v>656</v>
      </c>
      <c r="C7" s="294" t="s">
        <v>657</v>
      </c>
      <c r="D7" s="294" t="s">
        <v>645</v>
      </c>
      <c r="E7" s="294" t="s">
        <v>658</v>
      </c>
      <c r="F7" s="294" t="s">
        <v>659</v>
      </c>
      <c r="G7" s="294" t="s">
        <v>660</v>
      </c>
      <c r="H7" s="294" t="s">
        <v>646</v>
      </c>
      <c r="I7" s="294" t="s">
        <v>587</v>
      </c>
      <c r="J7" s="294" t="s">
        <v>647</v>
      </c>
      <c r="K7" s="294" t="s">
        <v>648</v>
      </c>
    </row>
    <row r="8" spans="1:11" s="146" customFormat="1" ht="12.75" customHeight="1">
      <c r="A8" s="294" t="s">
        <v>580</v>
      </c>
      <c r="B8" s="294" t="s">
        <v>586</v>
      </c>
      <c r="C8" s="294" t="s">
        <v>592</v>
      </c>
      <c r="D8" s="294" t="s">
        <v>598</v>
      </c>
      <c r="E8" s="294" t="s">
        <v>602</v>
      </c>
      <c r="F8" s="294" t="s">
        <v>606</v>
      </c>
      <c r="G8" s="294" t="s">
        <v>609</v>
      </c>
      <c r="H8" s="294" t="s">
        <v>583</v>
      </c>
      <c r="I8" s="294" t="s">
        <v>588</v>
      </c>
      <c r="J8" s="294" t="s">
        <v>594</v>
      </c>
      <c r="K8" s="294" t="s">
        <v>599</v>
      </c>
    </row>
    <row r="9" spans="1:11" s="146" customFormat="1" ht="4.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s="146" customFormat="1" ht="21" customHeight="1">
      <c r="A10" s="296"/>
      <c r="B10" s="297"/>
      <c r="C10" s="297" t="s">
        <v>661</v>
      </c>
      <c r="D10" s="298" t="s">
        <v>662</v>
      </c>
      <c r="E10" s="298"/>
      <c r="F10" s="299"/>
      <c r="G10" s="300"/>
      <c r="H10" s="300">
        <f>H20</f>
        <v>0</v>
      </c>
      <c r="I10" s="300">
        <f>I20</f>
        <v>0</v>
      </c>
      <c r="J10" s="300">
        <f>J20</f>
        <v>0</v>
      </c>
      <c r="K10" s="299">
        <f>K20</f>
        <v>1.851</v>
      </c>
    </row>
    <row r="11" spans="1:11" s="146" customFormat="1" ht="21" customHeight="1">
      <c r="A11" s="296"/>
      <c r="B11" s="297"/>
      <c r="C11" s="297" t="s">
        <v>663</v>
      </c>
      <c r="D11" s="298" t="s">
        <v>664</v>
      </c>
      <c r="E11" s="298"/>
      <c r="F11" s="301"/>
      <c r="G11" s="300"/>
      <c r="H11" s="300">
        <f>SUM(H12:H19)</f>
        <v>0</v>
      </c>
      <c r="I11" s="300">
        <f>SUM(I12:I19)</f>
        <v>0</v>
      </c>
      <c r="J11" s="300">
        <f>SUM(J12:J19)</f>
        <v>0</v>
      </c>
      <c r="K11" s="299">
        <f>SUM(K12:K19)</f>
        <v>1.851</v>
      </c>
    </row>
    <row r="12" spans="1:11" s="308" customFormat="1" ht="13.5" customHeight="1">
      <c r="A12" s="302">
        <v>1</v>
      </c>
      <c r="B12" s="303">
        <v>164</v>
      </c>
      <c r="C12" s="303">
        <v>350340346</v>
      </c>
      <c r="D12" s="304" t="s">
        <v>665</v>
      </c>
      <c r="E12" s="303" t="s">
        <v>666</v>
      </c>
      <c r="F12" s="305">
        <v>1</v>
      </c>
      <c r="G12" s="306">
        <v>0</v>
      </c>
      <c r="H12" s="306"/>
      <c r="I12" s="306">
        <f>F12*G12</f>
        <v>0</v>
      </c>
      <c r="J12" s="306">
        <f aca="true" t="shared" si="0" ref="J12:J19">H12+I12</f>
        <v>0</v>
      </c>
      <c r="K12" s="307"/>
    </row>
    <row r="13" spans="1:11" s="308" customFormat="1" ht="123.75">
      <c r="A13" s="309">
        <v>2</v>
      </c>
      <c r="B13" s="309" t="s">
        <v>667</v>
      </c>
      <c r="C13" s="309">
        <v>4360000</v>
      </c>
      <c r="D13" s="310" t="s">
        <v>668</v>
      </c>
      <c r="E13" s="303" t="s">
        <v>666</v>
      </c>
      <c r="F13" s="305">
        <v>1</v>
      </c>
      <c r="G13" s="306">
        <v>0</v>
      </c>
      <c r="H13" s="306">
        <f>F13*G13</f>
        <v>0</v>
      </c>
      <c r="I13" s="306"/>
      <c r="J13" s="306">
        <f t="shared" si="0"/>
        <v>0</v>
      </c>
      <c r="K13" s="307">
        <v>1.83</v>
      </c>
    </row>
    <row r="14" spans="1:11" s="308" customFormat="1" ht="22.5">
      <c r="A14" s="309">
        <v>3</v>
      </c>
      <c r="B14" s="309"/>
      <c r="C14" s="309">
        <v>4360000</v>
      </c>
      <c r="D14" s="310" t="s">
        <v>669</v>
      </c>
      <c r="E14" s="303" t="s">
        <v>331</v>
      </c>
      <c r="F14" s="305">
        <v>1</v>
      </c>
      <c r="G14" s="306">
        <v>0</v>
      </c>
      <c r="H14" s="306"/>
      <c r="I14" s="306"/>
      <c r="J14" s="306"/>
      <c r="K14" s="307"/>
    </row>
    <row r="15" spans="1:11" s="308" customFormat="1" ht="11.25">
      <c r="A15" s="309">
        <v>4</v>
      </c>
      <c r="B15" s="309"/>
      <c r="C15" s="309">
        <v>4360000</v>
      </c>
      <c r="D15" s="310" t="s">
        <v>670</v>
      </c>
      <c r="E15" s="303" t="s">
        <v>331</v>
      </c>
      <c r="F15" s="305">
        <v>2</v>
      </c>
      <c r="G15" s="306">
        <v>0</v>
      </c>
      <c r="H15" s="306">
        <f>F15*G15</f>
        <v>0</v>
      </c>
      <c r="I15" s="306"/>
      <c r="J15" s="306">
        <f t="shared" si="0"/>
        <v>0</v>
      </c>
      <c r="K15" s="307">
        <v>0.021</v>
      </c>
    </row>
    <row r="16" spans="1:11" s="308" customFormat="1" ht="13.5" customHeight="1">
      <c r="A16" s="302">
        <v>5</v>
      </c>
      <c r="B16" s="303"/>
      <c r="C16" s="303">
        <v>118</v>
      </c>
      <c r="D16" s="304" t="s">
        <v>671</v>
      </c>
      <c r="E16" s="303" t="s">
        <v>672</v>
      </c>
      <c r="F16" s="305">
        <f>K11*10</f>
        <v>18.509999999999998</v>
      </c>
      <c r="G16" s="306">
        <v>0</v>
      </c>
      <c r="H16" s="306"/>
      <c r="I16" s="306">
        <f>F16*G16</f>
        <v>0</v>
      </c>
      <c r="J16" s="306">
        <f t="shared" si="0"/>
        <v>0</v>
      </c>
      <c r="K16" s="307"/>
    </row>
    <row r="17" spans="1:11" s="308" customFormat="1" ht="13.5" customHeight="1">
      <c r="A17" s="302">
        <v>6</v>
      </c>
      <c r="B17" s="303"/>
      <c r="C17" s="303">
        <v>114</v>
      </c>
      <c r="D17" s="304" t="s">
        <v>673</v>
      </c>
      <c r="E17" s="303" t="s">
        <v>290</v>
      </c>
      <c r="F17" s="305">
        <f>I12</f>
        <v>0</v>
      </c>
      <c r="G17" s="306">
        <v>0</v>
      </c>
      <c r="H17" s="306"/>
      <c r="I17" s="306">
        <f>F17*G17/100</f>
        <v>0</v>
      </c>
      <c r="J17" s="306">
        <f t="shared" si="0"/>
        <v>0</v>
      </c>
      <c r="K17" s="307"/>
    </row>
    <row r="18" spans="1:11" s="308" customFormat="1" ht="13.5" customHeight="1">
      <c r="A18" s="302">
        <v>7</v>
      </c>
      <c r="B18" s="303"/>
      <c r="C18" s="303">
        <v>153</v>
      </c>
      <c r="D18" s="304" t="s">
        <v>674</v>
      </c>
      <c r="E18" s="303" t="s">
        <v>290</v>
      </c>
      <c r="F18" s="305">
        <f>I12</f>
        <v>0</v>
      </c>
      <c r="G18" s="306">
        <v>0</v>
      </c>
      <c r="H18" s="306"/>
      <c r="I18" s="306">
        <f>F18*G18/100</f>
        <v>0</v>
      </c>
      <c r="J18" s="306">
        <f t="shared" si="0"/>
        <v>0</v>
      </c>
      <c r="K18" s="307"/>
    </row>
    <row r="19" spans="1:11" s="308" customFormat="1" ht="13.5" customHeight="1">
      <c r="A19" s="302">
        <v>8</v>
      </c>
      <c r="B19" s="303"/>
      <c r="C19" s="303">
        <v>106</v>
      </c>
      <c r="D19" s="304" t="s">
        <v>675</v>
      </c>
      <c r="E19" s="303" t="s">
        <v>290</v>
      </c>
      <c r="F19" s="305">
        <f>J13</f>
        <v>0</v>
      </c>
      <c r="G19" s="306">
        <v>0</v>
      </c>
      <c r="H19" s="306">
        <f>F19*G19/100</f>
        <v>0</v>
      </c>
      <c r="I19" s="306"/>
      <c r="J19" s="306">
        <f t="shared" si="0"/>
        <v>0</v>
      </c>
      <c r="K19" s="307"/>
    </row>
    <row r="20" spans="1:11" s="146" customFormat="1" ht="21" customHeight="1">
      <c r="A20" s="311"/>
      <c r="B20" s="312"/>
      <c r="C20" s="313"/>
      <c r="D20" s="313" t="s">
        <v>8</v>
      </c>
      <c r="E20" s="313"/>
      <c r="F20" s="314"/>
      <c r="G20" s="315"/>
      <c r="H20" s="315">
        <f>H11</f>
        <v>0</v>
      </c>
      <c r="I20" s="315">
        <f>I11</f>
        <v>0</v>
      </c>
      <c r="J20" s="315">
        <f>J11</f>
        <v>0</v>
      </c>
      <c r="K20" s="316">
        <f>K11</f>
        <v>1.851</v>
      </c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fitToHeight="100" fitToWidth="1" horizontalDpi="300" verticalDpi="300" orientation="landscape" scale="96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Kadrnožka</cp:lastModifiedBy>
  <cp:lastPrinted>2015-11-30T13:39:03Z</cp:lastPrinted>
  <dcterms:modified xsi:type="dcterms:W3CDTF">2015-11-30T13:39:25Z</dcterms:modified>
  <cp:category/>
  <cp:version/>
  <cp:contentType/>
  <cp:contentStatus/>
</cp:coreProperties>
</file>